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175" windowHeight="1215" tabRatio="938" activeTab="0"/>
  </bookViews>
  <sheets>
    <sheet name="Body Stat Calculator" sheetId="1" r:id="rId1"/>
    <sheet name="Results" sheetId="2" r:id="rId2"/>
    <sheet name="Required Results" sheetId="3" r:id="rId3"/>
    <sheet name="Estimated Results" sheetId="4" r:id="rId4"/>
    <sheet name="Performance Goals" sheetId="5" r:id="rId5"/>
    <sheet name="Day1" sheetId="6" r:id="rId6"/>
    <sheet name="Day2" sheetId="7" r:id="rId7"/>
    <sheet name="Day3" sheetId="8" r:id="rId8"/>
    <sheet name="Day4" sheetId="9" r:id="rId9"/>
    <sheet name="Day5" sheetId="10" r:id="rId10"/>
    <sheet name="Day6" sheetId="11" r:id="rId11"/>
    <sheet name="Day7" sheetId="12" r:id="rId12"/>
    <sheet name="Food Database" sheetId="13" r:id="rId13"/>
    <sheet name="Totals" sheetId="14" r:id="rId14"/>
  </sheets>
  <definedNames>
    <definedName name="_po2" localSheetId="6">#REF!</definedName>
    <definedName name="_po2" localSheetId="7">#REF!</definedName>
    <definedName name="_po2" localSheetId="8">#REF!</definedName>
    <definedName name="_po2" localSheetId="9">#REF!</definedName>
    <definedName name="_po2" localSheetId="10">#REF!</definedName>
    <definedName name="_PPG2" localSheetId="6">#REF!</definedName>
    <definedName name="_PPG2" localSheetId="7">#REF!</definedName>
    <definedName name="_PPG2" localSheetId="8">#REF!</definedName>
    <definedName name="_PPG2" localSheetId="9">#REF!</definedName>
    <definedName name="_PPG2" localSheetId="10">#REF!</definedName>
    <definedName name="_Tue2" localSheetId="6">#REF!</definedName>
    <definedName name="_Tue2" localSheetId="7">#REF!</definedName>
    <definedName name="_Tue2" localSheetId="8">#REF!</definedName>
    <definedName name="_Tue2" localSheetId="9">#REF!</definedName>
    <definedName name="_Tue2" localSheetId="10">#REF!</definedName>
    <definedName name="_Tue3" localSheetId="6">#REF!</definedName>
    <definedName name="_Tue3" localSheetId="7">#REF!</definedName>
    <definedName name="_Tue3" localSheetId="8">#REF!</definedName>
    <definedName name="_Tue3" localSheetId="9">#REF!</definedName>
    <definedName name="_Tue3" localSheetId="10">#REF!</definedName>
    <definedName name="_tue4" localSheetId="6">#REF!</definedName>
    <definedName name="_tue4" localSheetId="7">#REF!</definedName>
    <definedName name="_tue4" localSheetId="8">#REF!</definedName>
    <definedName name="_tue4" localSheetId="9">#REF!</definedName>
    <definedName name="_tue4" localSheetId="10">#REF!</definedName>
    <definedName name="_Tue5" localSheetId="6">#REF!</definedName>
    <definedName name="_Tue5" localSheetId="7">#REF!</definedName>
    <definedName name="_Tue5" localSheetId="8">#REF!</definedName>
    <definedName name="_Tue5" localSheetId="9">#REF!</definedName>
    <definedName name="_Tue5" localSheetId="10">#REF!</definedName>
    <definedName name="_tue6" localSheetId="6">#REF!</definedName>
    <definedName name="_tue6" localSheetId="7">#REF!</definedName>
    <definedName name="_tue6" localSheetId="8">#REF!</definedName>
    <definedName name="_tue6" localSheetId="9">#REF!</definedName>
    <definedName name="_tue6" localSheetId="10">#REF!</definedName>
    <definedName name="_tue7" localSheetId="6">#REF!</definedName>
    <definedName name="_tue7" localSheetId="7">#REF!</definedName>
    <definedName name="_tue7" localSheetId="8">#REF!</definedName>
    <definedName name="_tue7" localSheetId="9">#REF!</definedName>
    <definedName name="_tue7" localSheetId="10">#REF!</definedName>
    <definedName name="_xlfn.RTD" hidden="1">#NAME?</definedName>
    <definedName name="A1W1">'Day1'!$A$1</definedName>
    <definedName name="A1W2">'Day2'!$A$1</definedName>
    <definedName name="A1W3">'Day3'!$A$1</definedName>
    <definedName name="A1W4">'Day4'!$A$1</definedName>
    <definedName name="A1W5">'Day5'!$A$1</definedName>
    <definedName name="A1W6">'Day6'!$A$1</definedName>
    <definedName name="A1W7">'Day7'!$A$1</definedName>
    <definedName name="Abdomen">'Body Stat Calculator'!$F$13</definedName>
    <definedName name="AccurateBF">'Body Stat Calculator'!$C$24</definedName>
    <definedName name="Age">'Body Stat Calculator'!$F$5</definedName>
    <definedName name="AltDeadline">'Estimated Results'!$C$26</definedName>
    <definedName name="apple" localSheetId="6">#REF!</definedName>
    <definedName name="apple" localSheetId="7">#REF!</definedName>
    <definedName name="apple" localSheetId="8">#REF!</definedName>
    <definedName name="apple" localSheetId="9">#REF!</definedName>
    <definedName name="apple" localSheetId="10">#REF!</definedName>
    <definedName name="apple" localSheetId="11">#REF!</definedName>
    <definedName name="Banana" localSheetId="6">#REF!</definedName>
    <definedName name="Banana" localSheetId="7">#REF!</definedName>
    <definedName name="Banana" localSheetId="8">#REF!</definedName>
    <definedName name="Banana" localSheetId="9">#REF!</definedName>
    <definedName name="Banana" localSheetId="10">#REF!</definedName>
    <definedName name="Banana" localSheetId="11">#REF!</definedName>
    <definedName name="Banana2" localSheetId="6">#REF!</definedName>
    <definedName name="Banana2" localSheetId="7">#REF!</definedName>
    <definedName name="Banana2" localSheetId="8">#REF!</definedName>
    <definedName name="Banana2" localSheetId="9">#REF!</definedName>
    <definedName name="Banana2" localSheetId="10">#REF!</definedName>
    <definedName name="Banana2" localSheetId="11">#REF!</definedName>
    <definedName name="bbb" localSheetId="6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 localSheetId="11">#REF!</definedName>
    <definedName name="BBS" localSheetId="6">#REF!</definedName>
    <definedName name="BBS" localSheetId="7">#REF!</definedName>
    <definedName name="BBS" localSheetId="8">#REF!</definedName>
    <definedName name="BBS" localSheetId="9">#REF!</definedName>
    <definedName name="BBS" localSheetId="10">#REF!</definedName>
    <definedName name="BBS" localSheetId="11">#REF!</definedName>
    <definedName name="Bed">'Day1'!$A$174:$A$204</definedName>
    <definedName name="Bed2">'Day3'!$A$174:$A$204</definedName>
    <definedName name="Bed3">'Day5'!$A$174:$A$204</definedName>
    <definedName name="Bed4">'Day7'!$A$174:$A$204</definedName>
    <definedName name="bed5">'Day2'!$A$174:$A$204</definedName>
    <definedName name="bed6">'Day4'!$A$174:$A$204</definedName>
    <definedName name="bed7">'Day6'!$A$174:$A$204</definedName>
    <definedName name="Bodyfat">'Body Stat Calculator'!$C$26</definedName>
    <definedName name="BodyFatPercentage">'Body Stat Calculator'!$C$25</definedName>
    <definedName name="cecc" localSheetId="6">#REF!</definedName>
    <definedName name="cecc" localSheetId="7">#REF!</definedName>
    <definedName name="cecc" localSheetId="8">#REF!</definedName>
    <definedName name="cecc" localSheetId="9">#REF!</definedName>
    <definedName name="cecc" localSheetId="10">#REF!</definedName>
    <definedName name="cecc" localSheetId="11">#REF!</definedName>
    <definedName name="CheatBF">'Day1'!$A$14:$A$44</definedName>
    <definedName name="CheatD">'Day1'!$A$142:$A$172</definedName>
    <definedName name="CheatEE">'Day1'!$A$110:$A$140</definedName>
    <definedName name="CheatL">'Day1'!$A$78:$A$108</definedName>
    <definedName name="CheatMM">'Day1'!$A$46:$A$76</definedName>
    <definedName name="Chicken" localSheetId="6">#REF!</definedName>
    <definedName name="Chicken" localSheetId="7">#REF!</definedName>
    <definedName name="Chicken" localSheetId="8">#REF!</definedName>
    <definedName name="Chicken" localSheetId="9">#REF!</definedName>
    <definedName name="Chicken" localSheetId="10">#REF!</definedName>
    <definedName name="Chicken" localSheetId="11">#REF!</definedName>
    <definedName name="Cottage" localSheetId="6">#REF!</definedName>
    <definedName name="Cottage" localSheetId="7">#REF!</definedName>
    <definedName name="Cottage" localSheetId="8">#REF!</definedName>
    <definedName name="Cottage" localSheetId="9">#REF!</definedName>
    <definedName name="Cottage" localSheetId="10">#REF!</definedName>
    <definedName name="Cottage" localSheetId="11">#REF!</definedName>
    <definedName name="Country">'Body Stat Calculator'!$F$23</definedName>
    <definedName name="DayList" localSheetId="13">'Totals'!$G$17</definedName>
    <definedName name="DepletionB">'Day6'!$A$14:$A$44</definedName>
    <definedName name="DepletionD">'Day6'!$A$142:$A$172</definedName>
    <definedName name="DepletionEE">'Day6'!$A$110:$A$140</definedName>
    <definedName name="DepletionL">'Day6'!$A$78:$A$108</definedName>
    <definedName name="DepletionMM">'Day6'!$A$46:$A$76</definedName>
    <definedName name="eeee" localSheetId="6">#REF!</definedName>
    <definedName name="eeee" localSheetId="7">#REF!</definedName>
    <definedName name="eeee" localSheetId="8">#REF!</definedName>
    <definedName name="eeee" localSheetId="9">#REF!</definedName>
    <definedName name="eeee" localSheetId="10">#REF!</definedName>
    <definedName name="eeee" localSheetId="11">#REF!</definedName>
    <definedName name="FastB" localSheetId="9">'Day5'!$A$14:$A$44</definedName>
    <definedName name="FastB" localSheetId="11">'Day7'!$A$14:$A$44</definedName>
    <definedName name="FastB">'Day3'!$A$14:$A$44</definedName>
    <definedName name="FastD" localSheetId="9">'Day5'!$A$142:$A$172</definedName>
    <definedName name="FastD" localSheetId="11">'Day7'!$A$142:$A$172</definedName>
    <definedName name="FastD">'Day3'!$A$142:$A$172</definedName>
    <definedName name="FastEE" localSheetId="9">'Day5'!$A$110:$A$140</definedName>
    <definedName name="FastEE" localSheetId="11">'Day7'!$A$110:$A$140</definedName>
    <definedName name="FastEE">'Day3'!$A$110:$A$140</definedName>
    <definedName name="FastL" localSheetId="9">'Day5'!$A$78:$A$108</definedName>
    <definedName name="FastL" localSheetId="11">'Day7'!$A$78:$A$108</definedName>
    <definedName name="FastL">'Day3'!$A$78:$A$108</definedName>
    <definedName name="FastMM" localSheetId="9">'Day5'!$A$46:$A$76</definedName>
    <definedName name="FastMM" localSheetId="11">'Day7'!$A$46:$A$76</definedName>
    <definedName name="FastMM">'Day3'!$A$46:$A$76</definedName>
    <definedName name="fghfg" localSheetId="6">#REF!</definedName>
    <definedName name="fghfg" localSheetId="7">#REF!</definedName>
    <definedName name="fghfg" localSheetId="8">#REF!</definedName>
    <definedName name="fghfg" localSheetId="9">#REF!</definedName>
    <definedName name="fghfg" localSheetId="10">#REF!</definedName>
    <definedName name="fghfg" localSheetId="11">#REF!</definedName>
    <definedName name="Five">'Food Database'!$I$40</definedName>
    <definedName name="Forearm">'Body Stat Calculator'!$C$19</definedName>
    <definedName name="Four">'Food Database'!$I$220</definedName>
    <definedName name="fsdfsd" localSheetId="6">#REF!</definedName>
    <definedName name="fsdfsd" localSheetId="7">#REF!</definedName>
    <definedName name="fsdfsd" localSheetId="8">#REF!</definedName>
    <definedName name="fsdfsd" localSheetId="9">#REF!</definedName>
    <definedName name="fsdfsd" localSheetId="10">#REF!</definedName>
    <definedName name="fsdfsd" localSheetId="11">#REF!</definedName>
    <definedName name="Gender">'Body Stat Calculator'!$C$5</definedName>
    <definedName name="Height">'Body Stat Calculator'!$F$11</definedName>
    <definedName name="Hip">'Body Stat Calculator'!$C$17</definedName>
    <definedName name="Hip2">'Body Stat Calculator'!$F$17</definedName>
    <definedName name="LBM" localSheetId="3">'Body Stat Calculator'!$C$27</definedName>
    <definedName name="LBM" localSheetId="2">'Body Stat Calculator'!$C$27</definedName>
    <definedName name="LBM" localSheetId="1">'Body Stat Calculator'!$C$27</definedName>
    <definedName name="LBM">'Body Stat Calculator'!$C$27</definedName>
    <definedName name="Lifestyle">'Body Stat Calculator'!$C$7</definedName>
    <definedName name="list" localSheetId="13">'Totals'!$B$27:$H$27</definedName>
    <definedName name="marr" localSheetId="6">#REF!</definedName>
    <definedName name="marr" localSheetId="7">#REF!</definedName>
    <definedName name="marr" localSheetId="8">#REF!</definedName>
    <definedName name="marr" localSheetId="9">#REF!</definedName>
    <definedName name="marr" localSheetId="10">#REF!</definedName>
    <definedName name="marr" localSheetId="11">#REF!</definedName>
    <definedName name="MeasurementDays">'Results'!$G$1</definedName>
    <definedName name="MeasurementList">'Food Database'!$D$257:$G$259</definedName>
    <definedName name="Measurements">'Body Stat Calculator'!$F$7</definedName>
    <definedName name="Milk" localSheetId="6">#REF!</definedName>
    <definedName name="Milk" localSheetId="7">#REF!</definedName>
    <definedName name="Milk" localSheetId="8">#REF!</definedName>
    <definedName name="Milk" localSheetId="9">#REF!</definedName>
    <definedName name="Milk" localSheetId="10">#REF!</definedName>
    <definedName name="Milk" localSheetId="11">#REF!</definedName>
    <definedName name="Milk2" localSheetId="6">#REF!</definedName>
    <definedName name="Milk2" localSheetId="7">#REF!</definedName>
    <definedName name="Milk2" localSheetId="8">#REF!</definedName>
    <definedName name="Milk2" localSheetId="9">#REF!</definedName>
    <definedName name="Milk2" localSheetId="10">#REF!</definedName>
    <definedName name="Milk2" localSheetId="11">#REF!</definedName>
    <definedName name="Milk3" localSheetId="6">#REF!</definedName>
    <definedName name="Milk3" localSheetId="7">#REF!</definedName>
    <definedName name="Milk3" localSheetId="8">#REF!</definedName>
    <definedName name="Milk3" localSheetId="9">#REF!</definedName>
    <definedName name="Milk3" localSheetId="10">#REF!</definedName>
    <definedName name="Milk3" localSheetId="11">#REF!</definedName>
    <definedName name="ModCarbB">'Day4'!$A$14:$A$44</definedName>
    <definedName name="ModCarbD">'Day4'!$A$142:$A$172</definedName>
    <definedName name="ModCarbEE">'Day4'!$A$110:$A$140</definedName>
    <definedName name="ModCarbL">'Day4'!$A$78:$A$108</definedName>
    <definedName name="ModCarbMM">'Day4'!$A$46:$A$76</definedName>
    <definedName name="Neck">'Body Stat Calculator'!$F$15</definedName>
    <definedName name="One">'Food Database'!$I$4</definedName>
    <definedName name="Peanut" localSheetId="6">#REF!</definedName>
    <definedName name="Peanut" localSheetId="7">#REF!</definedName>
    <definedName name="Peanut" localSheetId="8">#REF!</definedName>
    <definedName name="Peanut" localSheetId="9">#REF!</definedName>
    <definedName name="Peanut" localSheetId="10">#REF!</definedName>
    <definedName name="Peanut" localSheetId="11">#REF!</definedName>
    <definedName name="PO" localSheetId="6">#REF!</definedName>
    <definedName name="PO" localSheetId="7">#REF!</definedName>
    <definedName name="PO" localSheetId="8">#REF!</definedName>
    <definedName name="PO" localSheetId="9">#REF!</definedName>
    <definedName name="PO" localSheetId="10">#REF!</definedName>
    <definedName name="PO" localSheetId="11">#REF!</definedName>
    <definedName name="PPG" localSheetId="6">#REF!</definedName>
    <definedName name="PPG" localSheetId="7">#REF!</definedName>
    <definedName name="PPG" localSheetId="8">#REF!</definedName>
    <definedName name="PPG" localSheetId="9">#REF!</definedName>
    <definedName name="PPG" localSheetId="10">#REF!</definedName>
    <definedName name="PPG" localSheetId="11">#REF!</definedName>
    <definedName name="_xlnm.Print_Area" localSheetId="0">'Body Stat Calculator'!$B$2:$G$34</definedName>
    <definedName name="_xlnm.Print_Area" localSheetId="5">'Day1'!$A$14:$I$34,'Day1'!$A$46:$I$66,'Day1'!$A$78:$I$98,'Day1'!$A$110:$I$130,'Day1'!$A$142:$I$162,'Day1'!$A$174:$I$194</definedName>
    <definedName name="_xlnm.Print_Area" localSheetId="6">'Day2'!$A$14:$I$34,'Day2'!$A$46:$I$66,'Day2'!$A$78:$I$98,'Day2'!$A$110:$I$130,'Day2'!$A$142:$I$162,'Day2'!$A$174:$I$194</definedName>
    <definedName name="_xlnm.Print_Area" localSheetId="7">'Day3'!$A$15:$I$33</definedName>
    <definedName name="_xlnm.Print_Area" localSheetId="8">'Day4'!$A$14:$I$34,'Day4'!$A$46:$I$66,'Day4'!$A$78:$I$98,'Day4'!$A$110:$I$130,'Day4'!$A$142:$I$162,'Day4'!$A$174:$I$194</definedName>
    <definedName name="_xlnm.Print_Area" localSheetId="9">'Day5'!$A$14:$I$34,'Day5'!$A$46:$I$66,'Day5'!$A$78:$I$98,'Day5'!$A$110:$I$130,'Day5'!$A$142:$I$162,'Day5'!$A$174:$I$194</definedName>
    <definedName name="_xlnm.Print_Area" localSheetId="10">'Day6'!$A$14:$I$34,'Day6'!$A$46:$I$66,'Day6'!$A$78:$I$98,'Day6'!$A$110:$I$130,'Day6'!$A$142:$I$162,'Day6'!$A$174:$I$194</definedName>
    <definedName name="_xlnm.Print_Area" localSheetId="11">'Day7'!$A$14:$I$34,'Day7'!$A$46:$I$66,'Day7'!$A$78:$I$98,'Day7'!$A$110:$I$130,'Day7'!$A$142:$I$162,'Day7'!$A$174:$I$194</definedName>
    <definedName name="_xlnm.Print_Area" localSheetId="3">'Estimated Results'!$B$1:$K$23</definedName>
    <definedName name="_xlnm.Print_Area" localSheetId="12">'Food Database'!$B$2:$H$182</definedName>
    <definedName name="_xlnm.Print_Area" localSheetId="2">'Required Results'!#REF!</definedName>
    <definedName name="_xlnm.Print_Area" localSheetId="1">'Results'!$A$1:$J$22</definedName>
    <definedName name="_xlnm.Print_Area" localSheetId="13">'Totals'!$B$2:$J$26</definedName>
    <definedName name="PS" localSheetId="6">#REF!</definedName>
    <definedName name="PS" localSheetId="7">#REF!</definedName>
    <definedName name="PS" localSheetId="8">#REF!</definedName>
    <definedName name="PS" localSheetId="9">#REF!</definedName>
    <definedName name="PS" localSheetId="10">#REF!</definedName>
    <definedName name="PS" localSheetId="11">#REF!</definedName>
    <definedName name="Rest1" localSheetId="13">'Totals'!$B$2</definedName>
    <definedName name="Rest2" localSheetId="13">'Totals'!$B$12</definedName>
    <definedName name="Rest3" localSheetId="13">'Totals'!$B$22</definedName>
    <definedName name="Rest4" localSheetId="13">'Totals'!$G$7</definedName>
    <definedName name="Seven">'Food Database'!$I$184</definedName>
    <definedName name="ShakeB">'Day2'!$A$14:$A$44</definedName>
    <definedName name="ShakeD">'Day2'!$A$142:$A$172</definedName>
    <definedName name="ShakeEE">'Day2'!$A$110:$A$140</definedName>
    <definedName name="ShakeL">'Day2'!$A$78:$A$108</definedName>
    <definedName name="ShakeMM">'Day2'!$A$46:$A$76</definedName>
    <definedName name="Six">'Food Database'!$I$112</definedName>
    <definedName name="Three">'Food Database'!$I$148</definedName>
    <definedName name="ttet" localSheetId="6">#REF!</definedName>
    <definedName name="ttet" localSheetId="7">#REF!</definedName>
    <definedName name="ttet" localSheetId="8">#REF!</definedName>
    <definedName name="ttet" localSheetId="9">#REF!</definedName>
    <definedName name="ttet" localSheetId="10">#REF!</definedName>
    <definedName name="ttet" localSheetId="11">#REF!</definedName>
    <definedName name="Tuna" localSheetId="6">#REF!</definedName>
    <definedName name="Tuna" localSheetId="7">#REF!</definedName>
    <definedName name="Tuna" localSheetId="8">#REF!</definedName>
    <definedName name="Tuna" localSheetId="9">#REF!</definedName>
    <definedName name="Tuna" localSheetId="10">#REF!</definedName>
    <definedName name="Tuna" localSheetId="11">#REF!</definedName>
    <definedName name="Two">'Food Database'!$I$76</definedName>
    <definedName name="Waist">'Body Stat Calculator'!$C$13</definedName>
    <definedName name="Weight">'Body Stat Calculator'!$C$11</definedName>
    <definedName name="WO1" localSheetId="13">'Totals'!$B$7</definedName>
    <definedName name="WO2" localSheetId="13">'Totals'!$B$17</definedName>
    <definedName name="WO3" localSheetId="13">'Totals'!$G$2</definedName>
    <definedName name="Wrist">'Body Stat Calculator'!$C$15</definedName>
    <definedName name="Z_784DF1FC_5645_4309_B4EB_465AF44D2F42_.wvu.PrintArea" localSheetId="5" hidden="1">'Day1'!$A$143:$I$161</definedName>
    <definedName name="Z_784DF1FC_5645_4309_B4EB_465AF44D2F42_.wvu.PrintArea" localSheetId="6" hidden="1">'Day2'!$A$143:$I$161</definedName>
    <definedName name="Z_784DF1FC_5645_4309_B4EB_465AF44D2F42_.wvu.PrintArea" localSheetId="8" hidden="1">'Day4'!$A$143:$I$161</definedName>
    <definedName name="Z_784DF1FC_5645_4309_B4EB_465AF44D2F42_.wvu.PrintArea" localSheetId="9" hidden="1">'Day5'!$A$143:$I$161</definedName>
    <definedName name="Z_784DF1FC_5645_4309_B4EB_465AF44D2F42_.wvu.PrintArea" localSheetId="10" hidden="1">'Day6'!$A$143:$I$161</definedName>
    <definedName name="Z_784DF1FC_5645_4309_B4EB_465AF44D2F42_.wvu.PrintArea" localSheetId="11" hidden="1">'Day7'!$A$143:$I$161</definedName>
    <definedName name="Z_784DF1FC_5645_4309_B4EB_465AF44D2F42_.wvu.PrintArea" localSheetId="3" hidden="1">'Estimated Results'!#REF!</definedName>
    <definedName name="Z_784DF1FC_5645_4309_B4EB_465AF44D2F42_.wvu.PrintArea" localSheetId="13" hidden="1">'Totals'!$B$3:$K$29</definedName>
    <definedName name="Z_7D063503_BCA1_4E7D_AC68_23F994721F34_.wvu.PrintArea" localSheetId="5" hidden="1">'Day1'!$A$111:$I$129</definedName>
    <definedName name="Z_7D063503_BCA1_4E7D_AC68_23F994721F34_.wvu.PrintArea" localSheetId="6" hidden="1">'Day2'!$A$111:$I$129</definedName>
    <definedName name="Z_7D063503_BCA1_4E7D_AC68_23F994721F34_.wvu.PrintArea" localSheetId="8" hidden="1">'Day4'!$A$111:$I$129</definedName>
    <definedName name="Z_7D063503_BCA1_4E7D_AC68_23F994721F34_.wvu.PrintArea" localSheetId="9" hidden="1">'Day5'!$A$111:$I$129</definedName>
    <definedName name="Z_7D063503_BCA1_4E7D_AC68_23F994721F34_.wvu.PrintArea" localSheetId="10" hidden="1">'Day6'!$A$111:$I$129</definedName>
    <definedName name="Z_7D063503_BCA1_4E7D_AC68_23F994721F34_.wvu.PrintArea" localSheetId="11" hidden="1">'Day7'!$A$111:$I$129</definedName>
    <definedName name="Z_7D063503_BCA1_4E7D_AC68_23F994721F34_.wvu.PrintArea" localSheetId="3" hidden="1">'Estimated Results'!#REF!</definedName>
    <definedName name="Z_7D063503_BCA1_4E7D_AC68_23F994721F34_.wvu.PrintArea" localSheetId="13" hidden="1">'Totals'!$B$3:$K$29</definedName>
    <definedName name="Z_A33629C9_0669_4286_8FF8_7545D427C0A1_.wvu.PrintArea" localSheetId="5" hidden="1">'Day1'!$A$15:$I$33</definedName>
    <definedName name="Z_A33629C9_0669_4286_8FF8_7545D427C0A1_.wvu.PrintArea" localSheetId="6" hidden="1">'Day2'!$A$15:$I$33</definedName>
    <definedName name="Z_A33629C9_0669_4286_8FF8_7545D427C0A1_.wvu.PrintArea" localSheetId="8" hidden="1">'Day4'!$A$15:$I$33</definedName>
    <definedName name="Z_A33629C9_0669_4286_8FF8_7545D427C0A1_.wvu.PrintArea" localSheetId="9" hidden="1">'Day5'!$A$15:$I$33</definedName>
    <definedName name="Z_A33629C9_0669_4286_8FF8_7545D427C0A1_.wvu.PrintArea" localSheetId="10" hidden="1">'Day6'!$A$15:$I$33</definedName>
    <definedName name="Z_A33629C9_0669_4286_8FF8_7545D427C0A1_.wvu.PrintArea" localSheetId="11" hidden="1">'Day7'!$A$15:$I$33</definedName>
    <definedName name="Z_A33629C9_0669_4286_8FF8_7545D427C0A1_.wvu.PrintArea" localSheetId="3" hidden="1">'Estimated Results'!#REF!</definedName>
    <definedName name="Z_A33629C9_0669_4286_8FF8_7545D427C0A1_.wvu.PrintArea" localSheetId="13" hidden="1">'Totals'!$B$3:$K$29</definedName>
    <definedName name="Z_A4C204F2_45F6_4350_AA35_83043D50A058_.wvu.PrintArea" localSheetId="5" hidden="1">'Day1'!$A$47:$I$65</definedName>
    <definedName name="Z_A4C204F2_45F6_4350_AA35_83043D50A058_.wvu.PrintArea" localSheetId="6" hidden="1">'Day2'!$A$47:$I$65</definedName>
    <definedName name="Z_A4C204F2_45F6_4350_AA35_83043D50A058_.wvu.PrintArea" localSheetId="8" hidden="1">'Day4'!$A$47:$I$65</definedName>
    <definedName name="Z_A4C204F2_45F6_4350_AA35_83043D50A058_.wvu.PrintArea" localSheetId="9" hidden="1">'Day5'!$A$47:$I$65</definedName>
    <definedName name="Z_A4C204F2_45F6_4350_AA35_83043D50A058_.wvu.PrintArea" localSheetId="10" hidden="1">'Day6'!$A$47:$I$65</definedName>
    <definedName name="Z_A4C204F2_45F6_4350_AA35_83043D50A058_.wvu.PrintArea" localSheetId="11" hidden="1">'Day7'!$A$47:$I$65</definedName>
    <definedName name="Z_A4C204F2_45F6_4350_AA35_83043D50A058_.wvu.PrintArea" localSheetId="3" hidden="1">'Estimated Results'!#REF!</definedName>
    <definedName name="Z_A4C204F2_45F6_4350_AA35_83043D50A058_.wvu.PrintArea" localSheetId="13" hidden="1">'Totals'!$B$3:$K$29</definedName>
    <definedName name="Z_FAFBB911_286B_47C5_A195_37ED972A7252_.wvu.PrintArea" localSheetId="5" hidden="1">'Day1'!$A$79:$I$97</definedName>
    <definedName name="Z_FAFBB911_286B_47C5_A195_37ED972A7252_.wvu.PrintArea" localSheetId="6" hidden="1">'Day2'!$A$79:$I$97</definedName>
    <definedName name="Z_FAFBB911_286B_47C5_A195_37ED972A7252_.wvu.PrintArea" localSheetId="8" hidden="1">'Day4'!$A$79:$I$97</definedName>
    <definedName name="Z_FAFBB911_286B_47C5_A195_37ED972A7252_.wvu.PrintArea" localSheetId="9" hidden="1">'Day5'!$A$79:$I$97</definedName>
    <definedName name="Z_FAFBB911_286B_47C5_A195_37ED972A7252_.wvu.PrintArea" localSheetId="10" hidden="1">'Day6'!$A$79:$I$97</definedName>
    <definedName name="Z_FAFBB911_286B_47C5_A195_37ED972A7252_.wvu.PrintArea" localSheetId="11" hidden="1">'Day7'!$A$79:$I$97</definedName>
    <definedName name="Z_FAFBB911_286B_47C5_A195_37ED972A7252_.wvu.PrintArea" localSheetId="3" hidden="1">'Estimated Results'!#REF!</definedName>
    <definedName name="Z_FAFBB911_286B_47C5_A195_37ED972A7252_.wvu.PrintArea" localSheetId="13" hidden="1">'Totals'!$B$3:$K$29</definedName>
  </definedNames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C24" authorId="0">
      <text>
        <r>
          <rPr>
            <b/>
            <sz val="14"/>
            <rFont val="Tahoma"/>
            <family val="2"/>
          </rPr>
          <t>If a more accurate method of measuring body fat % is used, enter the figure here.</t>
        </r>
      </text>
    </comment>
    <comment ref="C7" authorId="0">
      <text>
        <r>
          <rPr>
            <b/>
            <sz val="14"/>
            <rFont val="Tahoma"/>
            <family val="2"/>
          </rPr>
          <t>Sedentary - Little or no exercise, office work or sedentary job.
Barely Active - 1 to 2 hours of exercise per week, office work or sedentary job.
Active - Consistent and progressive exercise 3-5 days a week. Moderately active.
Very Active - Consistent and progressive exercise 5-7 days a week.
Extremely Active - Extreme training and / or physically demanding job.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G1" authorId="0">
      <text>
        <r>
          <rPr>
            <b/>
            <sz val="9"/>
            <rFont val="Tahoma"/>
            <family val="0"/>
          </rPr>
          <t>David:</t>
        </r>
        <r>
          <rPr>
            <sz val="9"/>
            <rFont val="Tahoma"/>
            <family val="0"/>
          </rPr>
          <t xml:space="preserve">
Enter days between measurements, i.e. 7 if you measure weekly.</t>
        </r>
      </text>
    </comment>
  </commentList>
</comments>
</file>

<file path=xl/sharedStrings.xml><?xml version="1.0" encoding="utf-8"?>
<sst xmlns="http://schemas.openxmlformats.org/spreadsheetml/2006/main" count="1386" uniqueCount="145">
  <si>
    <t>Protein</t>
  </si>
  <si>
    <t>Fat</t>
  </si>
  <si>
    <t>Total</t>
  </si>
  <si>
    <t>Weight</t>
  </si>
  <si>
    <t>Height</t>
  </si>
  <si>
    <t>Waist</t>
  </si>
  <si>
    <t>Neck</t>
  </si>
  <si>
    <t>Wrist</t>
  </si>
  <si>
    <t>Abdomen</t>
  </si>
  <si>
    <t>Hip</t>
  </si>
  <si>
    <t>Forearm</t>
  </si>
  <si>
    <t>Body Fat</t>
  </si>
  <si>
    <t>%</t>
  </si>
  <si>
    <t xml:space="preserve">Protein:  </t>
  </si>
  <si>
    <t xml:space="preserve">Fat: </t>
  </si>
  <si>
    <t>Pounds</t>
  </si>
  <si>
    <t>Ref</t>
  </si>
  <si>
    <t>Quantity</t>
  </si>
  <si>
    <t>Kilograms</t>
  </si>
  <si>
    <t>Grams</t>
  </si>
  <si>
    <t>Ounces</t>
  </si>
  <si>
    <t>Liters</t>
  </si>
  <si>
    <t>Milileters</t>
  </si>
  <si>
    <t>Pints</t>
  </si>
  <si>
    <t>Cups</t>
  </si>
  <si>
    <t>Measurement</t>
  </si>
  <si>
    <t>Body fat % From Weight</t>
  </si>
  <si>
    <t>Body fat % From Height</t>
  </si>
  <si>
    <t>LBM</t>
  </si>
  <si>
    <t>Lean Body Mass</t>
  </si>
  <si>
    <t>Body Fat %</t>
  </si>
  <si>
    <t>Conversion Calculators</t>
  </si>
  <si>
    <t>Created By David Osullivan</t>
  </si>
  <si>
    <t>Measurements</t>
  </si>
  <si>
    <t>Latest Results</t>
  </si>
  <si>
    <t>Food / Drink</t>
  </si>
  <si>
    <t>Capsules</t>
  </si>
  <si>
    <t>DATABASE REFERENCES</t>
  </si>
  <si>
    <t>Lifestyle</t>
  </si>
  <si>
    <t>Goals</t>
  </si>
  <si>
    <t>Average BF %</t>
  </si>
  <si>
    <t>Accurate BF %</t>
  </si>
  <si>
    <t>Gender</t>
  </si>
  <si>
    <t>Age</t>
  </si>
  <si>
    <t>Weight Gain</t>
  </si>
  <si>
    <t>Weight Loss</t>
  </si>
  <si>
    <t>Calories left to use =</t>
  </si>
  <si>
    <t>Calories</t>
  </si>
  <si>
    <t>Slice</t>
  </si>
  <si>
    <t>Calorie Requirements</t>
  </si>
  <si>
    <t>Maintenance</t>
  </si>
  <si>
    <t>Daily Average</t>
  </si>
  <si>
    <t>Apple</t>
  </si>
  <si>
    <t>Carbs</t>
  </si>
  <si>
    <t xml:space="preserve">Carbs: </t>
  </si>
  <si>
    <t>Meal 1</t>
  </si>
  <si>
    <t>Meal 2</t>
  </si>
  <si>
    <t>Meal 3</t>
  </si>
  <si>
    <t>Meal 4</t>
  </si>
  <si>
    <t>Meal 5</t>
  </si>
  <si>
    <t>Meal 6</t>
  </si>
  <si>
    <t>Calories From</t>
  </si>
  <si>
    <t>Percentage</t>
  </si>
  <si>
    <t>Total Calories</t>
  </si>
  <si>
    <t>One serving</t>
  </si>
  <si>
    <t>Website www.wayofthedave.com</t>
  </si>
  <si>
    <t>Weekly Total</t>
  </si>
  <si>
    <t>Days</t>
  </si>
  <si>
    <t>Results Required</t>
  </si>
  <si>
    <t>Day1</t>
  </si>
  <si>
    <t>Protein :</t>
  </si>
  <si>
    <t>Carbs :</t>
  </si>
  <si>
    <t>Fat :</t>
  </si>
  <si>
    <t>Calories :</t>
  </si>
  <si>
    <t>Centimetres</t>
  </si>
  <si>
    <t>Calorie Aim</t>
  </si>
  <si>
    <t>For Instructions Click The Link Below</t>
  </si>
  <si>
    <t>Alternative Deadline Date</t>
  </si>
  <si>
    <t>Measurement Types (add your own)</t>
  </si>
  <si>
    <t>Left to go</t>
  </si>
  <si>
    <t>Todays Date :</t>
  </si>
  <si>
    <t>Estimated Achievement Date</t>
  </si>
  <si>
    <t>Measurements Every</t>
  </si>
  <si>
    <t>Start Date</t>
  </si>
  <si>
    <t xml:space="preserve"> </t>
  </si>
  <si>
    <t>Inches</t>
  </si>
  <si>
    <t xml:space="preserve">  Estimated Results</t>
  </si>
  <si>
    <t>Average Required Results +/-</t>
  </si>
  <si>
    <t>Average Results +/-</t>
  </si>
  <si>
    <t>Days Over/Under Deadine</t>
  </si>
  <si>
    <t>Days Left</t>
  </si>
  <si>
    <t>Date</t>
  </si>
  <si>
    <t>Weighted Exercises</t>
  </si>
  <si>
    <t>Beat Previous 1RM</t>
  </si>
  <si>
    <t>Circuits</t>
  </si>
  <si>
    <t>95%+ Diet Compliance</t>
  </si>
  <si>
    <t>Cardio (KMs)</t>
  </si>
  <si>
    <t>Body Comp on Track</t>
  </si>
  <si>
    <t>Weeks</t>
  </si>
  <si>
    <t>Rewards</t>
  </si>
  <si>
    <t>Reward Meal</t>
  </si>
  <si>
    <t>Re-feed Day</t>
  </si>
  <si>
    <t>Rest Day</t>
  </si>
  <si>
    <t>Earned This Week</t>
  </si>
  <si>
    <t>Earned To Date</t>
  </si>
  <si>
    <t>Used This Week</t>
  </si>
  <si>
    <t>Remaining</t>
  </si>
  <si>
    <t>Per week to achieve 1 Reward</t>
  </si>
  <si>
    <t>Junk Food Snack</t>
  </si>
  <si>
    <t>Days Until Goal Achievement</t>
  </si>
  <si>
    <t>Almond Milk</t>
  </si>
  <si>
    <t>Almonds</t>
  </si>
  <si>
    <t>Baked Potato</t>
  </si>
  <si>
    <t>Banana</t>
  </si>
  <si>
    <t>Beans (reduced salt)</t>
  </si>
  <si>
    <t>Chicken breast</t>
  </si>
  <si>
    <t>Chicken breast (raw)</t>
  </si>
  <si>
    <t>Diced Onion</t>
  </si>
  <si>
    <t>Egg 56g</t>
  </si>
  <si>
    <t>One</t>
  </si>
  <si>
    <t>GF Pasta</t>
  </si>
  <si>
    <t>Hellmanns Full fat mayo</t>
  </si>
  <si>
    <t>Lactose Free Milk Semi</t>
  </si>
  <si>
    <t>Mccains oven chips (frozen)</t>
  </si>
  <si>
    <t>Micellar Caseine (IronS)</t>
  </si>
  <si>
    <t>Minus 1 Egg Yolk</t>
  </si>
  <si>
    <t>Protein Powder</t>
  </si>
  <si>
    <t>Oats</t>
  </si>
  <si>
    <t>Organic Crunchy PB</t>
  </si>
  <si>
    <t>Peanut Butter</t>
  </si>
  <si>
    <t>Peas</t>
  </si>
  <si>
    <t>Protein Powder (IronS)</t>
  </si>
  <si>
    <t>Rapeseed Oil</t>
  </si>
  <si>
    <t>Rice (uncooked weight)</t>
  </si>
  <si>
    <t>Rump Steak</t>
  </si>
  <si>
    <t>Grated cheese light</t>
  </si>
  <si>
    <t>low fat mayo</t>
  </si>
  <si>
    <t>organic honey</t>
  </si>
  <si>
    <t>Tomato sauce</t>
  </si>
  <si>
    <t>Dried Mixed Fruit</t>
  </si>
  <si>
    <t>Created by David O'Sullivan @ Wayofthedave.com</t>
  </si>
  <si>
    <t>Broccoli, Boiled</t>
  </si>
  <si>
    <t>Male</t>
  </si>
  <si>
    <t>Active</t>
  </si>
  <si>
    <t>Imperial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</si>
</sst>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\-00"/>
    <numFmt numFmtId="167" formatCode="\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[$-809]dd\ mmmm\ yyyy"/>
    <numFmt numFmtId="174" formatCode="0.00_ ;[Red]\-0.00\ "/>
    <numFmt numFmtId="175" formatCode="0_ ;[Red]\-0\ "/>
    <numFmt numFmtId="176" formatCode="0.0"/>
    <numFmt numFmtId="177" formatCode="0.0%"/>
    <numFmt numFmtId="178" formatCode="dd/mm/yy;@"/>
    <numFmt numFmtId="179" formatCode="d/m/yy;@"/>
    <numFmt numFmtId="180" formatCode="[$-F800]dddd\,\ mmmm\ dd\,\ yyyy"/>
    <numFmt numFmtId="181" formatCode="[$-809]dd\ mmmm\ yyyy;@"/>
    <numFmt numFmtId="182" formatCode="dd/mm/yyyy;@"/>
    <numFmt numFmtId="183" formatCode="[$-809]dd\ mmm\ yyyy;@"/>
    <numFmt numFmtId="184" formatCode="[$-809]dd\ mmm\ yy;@"/>
    <numFmt numFmtId="185" formatCode="[$-809]d\ mmm\ yy;@"/>
    <numFmt numFmtId="186" formatCode="0.00000000"/>
    <numFmt numFmtId="187" formatCode="00.00\ %"/>
    <numFmt numFmtId="188" formatCode="dd\-mmmm"/>
    <numFmt numFmtId="189" formatCode="dd\ mmm"/>
    <numFmt numFmtId="190" formatCode="d\ mmm"/>
    <numFmt numFmtId="191" formatCode="mmm\-yyyy"/>
    <numFmt numFmtId="192" formatCode="dddd\ d\ mmm"/>
    <numFmt numFmtId="193" formatCode="0/10"/>
    <numFmt numFmtId="194" formatCode="0/00"/>
    <numFmt numFmtId="195" formatCode="dd\ mmm\ yy"/>
    <numFmt numFmtId="196" formatCode="dd\ mmmm\ yy"/>
    <numFmt numFmtId="197" formatCode="0.0000000000"/>
    <numFmt numFmtId="198" formatCode="[$-809]dd\ mmmm\ yy"/>
    <numFmt numFmtId="199" formatCode="0.00000"/>
    <numFmt numFmtId="200" formatCode="[$-809]dd\ mmmm\ yy;@"/>
    <numFmt numFmtId="201" formatCode="[$-F800]dddd\,\ mmmm\ dd"/>
    <numFmt numFmtId="202" formatCode="[$-F800]"/>
    <numFmt numFmtId="203" formatCode="[$-809]dd\ mmmm;@"/>
    <numFmt numFmtId="204" formatCode="[$-809]dd\ mmmm"/>
    <numFmt numFmtId="205" formatCode="[$-809]dd\ mmm\ yy"/>
    <numFmt numFmtId="206" formatCode="0_ ;\-0\ "/>
    <numFmt numFmtId="207" formatCode="0;[Red]0"/>
    <numFmt numFmtId="208" formatCode="0.000000"/>
    <numFmt numFmtId="209" formatCode="0.0_ ;[Red]\-0.0\ "/>
    <numFmt numFmtId="210" formatCode="dddd"/>
    <numFmt numFmtId="211" formatCode="0.00000_ ;[Red]\-0.00000\ "/>
  </numFmts>
  <fonts count="69"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10"/>
      <name val="Verdana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4"/>
      <name val="Tahoma"/>
      <family val="2"/>
    </font>
    <font>
      <b/>
      <sz val="11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Cambria"/>
      <family val="1"/>
    </font>
    <font>
      <b/>
      <sz val="6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u val="single"/>
      <sz val="11"/>
      <color indexed="10"/>
      <name val="Calibri"/>
      <family val="2"/>
    </font>
    <font>
      <sz val="11"/>
      <color indexed="10"/>
      <name val="Cambria"/>
      <family val="1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63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6"/>
      <color indexed="9"/>
      <name val="Calibri"/>
      <family val="2"/>
    </font>
    <font>
      <b/>
      <sz val="16"/>
      <name val="Calibri"/>
      <family val="2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u val="single"/>
      <sz val="11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b/>
      <sz val="8"/>
      <color indexed="10"/>
      <name val="Calibri"/>
      <family val="2"/>
    </font>
    <font>
      <b/>
      <sz val="13"/>
      <name val="Calibri"/>
      <family val="2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sz val="12"/>
      <name val="Verdana"/>
      <family val="2"/>
    </font>
    <font>
      <sz val="11"/>
      <name val="Cambria"/>
      <family val="1"/>
    </font>
    <font>
      <sz val="8"/>
      <name val="Tahoma"/>
      <family val="2"/>
    </font>
    <font>
      <b/>
      <sz val="18"/>
      <name val="Calibri"/>
      <family val="2"/>
    </font>
    <font>
      <sz val="8"/>
      <name val="Verdana"/>
      <family val="0"/>
    </font>
    <font>
      <sz val="13"/>
      <name val="Wingdings"/>
      <family val="0"/>
    </font>
    <font>
      <b/>
      <sz val="22"/>
      <name val="Calibri"/>
      <family val="2"/>
    </font>
    <font>
      <u val="single"/>
      <sz val="14"/>
      <color indexed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176" fontId="22" fillId="24" borderId="0" xfId="0" applyNumberFormat="1" applyFont="1" applyFill="1" applyBorder="1" applyAlignment="1" applyProtection="1">
      <alignment horizontal="left" vertical="center"/>
      <protection hidden="1"/>
    </xf>
    <xf numFmtId="0" fontId="1" fillId="24" borderId="0" xfId="0" applyFont="1" applyFill="1" applyBorder="1" applyAlignment="1" applyProtection="1">
      <alignment horizontal="left" vertical="center"/>
      <protection hidden="1"/>
    </xf>
    <xf numFmtId="176" fontId="0" fillId="24" borderId="0" xfId="0" applyNumberFormat="1" applyFont="1" applyFill="1" applyBorder="1" applyAlignment="1" applyProtection="1">
      <alignment horizontal="right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center" vertical="center" wrapText="1"/>
      <protection hidden="1"/>
    </xf>
    <xf numFmtId="0" fontId="19" fillId="24" borderId="0" xfId="0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left" vertical="center"/>
      <protection hidden="1"/>
    </xf>
    <xf numFmtId="0" fontId="2" fillId="24" borderId="0" xfId="0" applyFont="1" applyFill="1" applyBorder="1" applyAlignment="1" applyProtection="1">
      <alignment horizontal="center" vertical="center"/>
      <protection hidden="1"/>
    </xf>
    <xf numFmtId="176" fontId="2" fillId="24" borderId="0" xfId="0" applyNumberFormat="1" applyFont="1" applyFill="1" applyBorder="1" applyAlignment="1" applyProtection="1">
      <alignment horizontal="center" vertical="center"/>
      <protection hidden="1"/>
    </xf>
    <xf numFmtId="0" fontId="2" fillId="24" borderId="0" xfId="0" applyFont="1" applyFill="1" applyBorder="1" applyAlignment="1" applyProtection="1">
      <alignment horizontal="left" vertical="center"/>
      <protection hidden="1"/>
    </xf>
    <xf numFmtId="1" fontId="27" fillId="24" borderId="0" xfId="0" applyNumberFormat="1" applyFont="1" applyFill="1" applyBorder="1" applyAlignment="1" applyProtection="1">
      <alignment horizontal="center" vertical="center"/>
      <protection hidden="1"/>
    </xf>
    <xf numFmtId="0" fontId="3" fillId="24" borderId="0" xfId="58" applyFont="1" applyFill="1" applyBorder="1" applyAlignment="1" applyProtection="1">
      <alignment vertical="center"/>
      <protection hidden="1"/>
    </xf>
    <xf numFmtId="0" fontId="24" fillId="24" borderId="10" xfId="0" applyFont="1" applyFill="1" applyBorder="1" applyAlignment="1" applyProtection="1">
      <alignment horizontal="center" vertical="center"/>
      <protection hidden="1"/>
    </xf>
    <xf numFmtId="176" fontId="24" fillId="24" borderId="10" xfId="0" applyNumberFormat="1" applyFont="1" applyFill="1" applyBorder="1" applyAlignment="1" applyProtection="1">
      <alignment horizontal="center" vertical="center"/>
      <protection hidden="1"/>
    </xf>
    <xf numFmtId="176" fontId="0" fillId="24" borderId="0" xfId="0" applyNumberFormat="1" applyFont="1" applyFill="1" applyBorder="1" applyAlignment="1" applyProtection="1">
      <alignment horizontal="left" vertical="center"/>
      <protection hidden="1"/>
    </xf>
    <xf numFmtId="0" fontId="1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9" fontId="0" fillId="24" borderId="0" xfId="0" applyNumberFormat="1" applyFont="1" applyFill="1" applyBorder="1" applyAlignment="1" applyProtection="1">
      <alignment horizontal="center" vertical="center"/>
      <protection hidden="1"/>
    </xf>
    <xf numFmtId="1" fontId="0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Border="1" applyAlignment="1" applyProtection="1">
      <alignment horizontal="center" vertical="center" shrinkToFit="1"/>
      <protection hidden="1"/>
    </xf>
    <xf numFmtId="176" fontId="0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11" xfId="0" applyFont="1" applyFill="1" applyBorder="1" applyAlignment="1" applyProtection="1">
      <alignment horizontal="center" vertical="center" shrinkToFit="1"/>
      <protection hidden="1"/>
    </xf>
    <xf numFmtId="0" fontId="0" fillId="24" borderId="11" xfId="0" applyFont="1" applyFill="1" applyBorder="1" applyAlignment="1" applyProtection="1">
      <alignment horizontal="center" vertical="center"/>
      <protection hidden="1"/>
    </xf>
    <xf numFmtId="176" fontId="0" fillId="24" borderId="11" xfId="0" applyNumberFormat="1" applyFont="1" applyFill="1" applyBorder="1" applyAlignment="1" applyProtection="1">
      <alignment horizontal="center" vertical="center"/>
      <protection hidden="1"/>
    </xf>
    <xf numFmtId="0" fontId="0" fillId="24" borderId="11" xfId="0" applyFont="1" applyFill="1" applyBorder="1" applyAlignment="1" applyProtection="1">
      <alignment horizontal="left" vertical="center"/>
      <protection hidden="1"/>
    </xf>
    <xf numFmtId="0" fontId="0" fillId="24" borderId="11" xfId="0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right" vertical="center"/>
      <protection hidden="1"/>
    </xf>
    <xf numFmtId="1" fontId="0" fillId="24" borderId="0" xfId="0" applyNumberFormat="1" applyFill="1" applyBorder="1" applyAlignment="1" applyProtection="1">
      <alignment horizontal="right" vertical="center"/>
      <protection hidden="1"/>
    </xf>
    <xf numFmtId="0" fontId="0" fillId="25" borderId="0" xfId="0" applyFont="1" applyFill="1" applyBorder="1" applyAlignment="1" applyProtection="1">
      <alignment horizontal="center" vertical="center"/>
      <protection hidden="1"/>
    </xf>
    <xf numFmtId="0" fontId="1" fillId="25" borderId="0" xfId="0" applyFont="1" applyFill="1" applyBorder="1" applyAlignment="1" applyProtection="1">
      <alignment horizontal="left" vertical="center"/>
      <protection hidden="1"/>
    </xf>
    <xf numFmtId="0" fontId="1" fillId="25" borderId="0" xfId="0" applyFont="1" applyFill="1" applyBorder="1" applyAlignment="1" applyProtection="1">
      <alignment horizontal="center" vertical="center"/>
      <protection hidden="1"/>
    </xf>
    <xf numFmtId="1" fontId="0" fillId="4" borderId="0" xfId="0" applyNumberFormat="1" applyFont="1" applyFill="1" applyBorder="1" applyAlignment="1" applyProtection="1">
      <alignment horizontal="center" vertical="center"/>
      <protection locked="0"/>
    </xf>
    <xf numFmtId="1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Alignment="1" applyProtection="1">
      <alignment horizontal="center" vertical="center"/>
      <protection/>
    </xf>
    <xf numFmtId="0" fontId="28" fillId="0" borderId="0" xfId="58" applyFont="1" applyFill="1" applyBorder="1" applyAlignment="1" applyProtection="1">
      <alignment horizontal="center" vertical="center"/>
      <protection/>
    </xf>
    <xf numFmtId="0" fontId="28" fillId="0" borderId="0" xfId="58" applyFont="1" applyFill="1" applyProtection="1">
      <alignment/>
      <protection/>
    </xf>
    <xf numFmtId="0" fontId="28" fillId="0" borderId="0" xfId="58" applyFont="1" applyFill="1" applyBorder="1" applyAlignment="1" applyProtection="1">
      <alignment vertical="center"/>
      <protection/>
    </xf>
    <xf numFmtId="0" fontId="28" fillId="0" borderId="12" xfId="58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8" fillId="0" borderId="0" xfId="58" applyFont="1" applyFill="1" applyAlignment="1" applyProtection="1">
      <alignment horizontal="center"/>
      <protection/>
    </xf>
    <xf numFmtId="0" fontId="28" fillId="0" borderId="13" xfId="58" applyFont="1" applyFill="1" applyBorder="1" applyAlignment="1" applyProtection="1">
      <alignment horizontal="center" vertical="center"/>
      <protection/>
    </xf>
    <xf numFmtId="0" fontId="28" fillId="4" borderId="14" xfId="58" applyFont="1" applyFill="1" applyBorder="1" applyAlignment="1" applyProtection="1">
      <alignment horizontal="center" vertical="center"/>
      <protection locked="0"/>
    </xf>
    <xf numFmtId="0" fontId="28" fillId="0" borderId="15" xfId="58" applyFont="1" applyFill="1" applyBorder="1" applyAlignment="1" applyProtection="1">
      <alignment horizontal="center" vertical="center"/>
      <protection/>
    </xf>
    <xf numFmtId="0" fontId="29" fillId="0" borderId="16" xfId="0" applyFont="1" applyBorder="1" applyAlignment="1">
      <alignment vertical="center"/>
    </xf>
    <xf numFmtId="0" fontId="28" fillId="0" borderId="0" xfId="58" applyFont="1" applyFill="1" applyBorder="1" applyProtection="1">
      <alignment/>
      <protection/>
    </xf>
    <xf numFmtId="0" fontId="28" fillId="0" borderId="17" xfId="58" applyFont="1" applyFill="1" applyBorder="1" applyAlignment="1" applyProtection="1">
      <alignment horizontal="left" vertical="center"/>
      <protection/>
    </xf>
    <xf numFmtId="0" fontId="28" fillId="0" borderId="0" xfId="58" applyFont="1" applyFill="1" applyBorder="1" applyAlignment="1" applyProtection="1">
      <alignment vertical="center"/>
      <protection/>
    </xf>
    <xf numFmtId="0" fontId="28" fillId="0" borderId="0" xfId="58" applyFont="1" applyFill="1" applyBorder="1" applyAlignment="1" applyProtection="1">
      <alignment vertical="center"/>
      <protection/>
    </xf>
    <xf numFmtId="0" fontId="28" fillId="0" borderId="18" xfId="58" applyFont="1" applyFill="1" applyBorder="1" applyAlignment="1" applyProtection="1">
      <alignment horizontal="center" vertical="center"/>
      <protection/>
    </xf>
    <xf numFmtId="0" fontId="28" fillId="0" borderId="19" xfId="58" applyFont="1" applyFill="1" applyBorder="1" applyAlignment="1" applyProtection="1">
      <alignment horizontal="left" vertical="center"/>
      <protection/>
    </xf>
    <xf numFmtId="0" fontId="28" fillId="0" borderId="20" xfId="58" applyFont="1" applyFill="1" applyBorder="1" applyAlignment="1" applyProtection="1">
      <alignment horizontal="center" vertical="center"/>
      <protection/>
    </xf>
    <xf numFmtId="0" fontId="28" fillId="0" borderId="21" xfId="58" applyFont="1" applyFill="1" applyBorder="1" applyAlignment="1" applyProtection="1">
      <alignment horizontal="left" vertical="center"/>
      <protection/>
    </xf>
    <xf numFmtId="0" fontId="28" fillId="0" borderId="22" xfId="58" applyFont="1" applyFill="1" applyBorder="1" applyAlignment="1" applyProtection="1">
      <alignment horizontal="center" vertical="center"/>
      <protection/>
    </xf>
    <xf numFmtId="0" fontId="28" fillId="0" borderId="23" xfId="58" applyFont="1" applyFill="1" applyBorder="1" applyAlignment="1" applyProtection="1">
      <alignment horizontal="center" vertical="center"/>
      <protection/>
    </xf>
    <xf numFmtId="0" fontId="28" fillId="0" borderId="16" xfId="58" applyFont="1" applyFill="1" applyBorder="1" applyAlignment="1" applyProtection="1">
      <alignment vertical="center"/>
      <protection/>
    </xf>
    <xf numFmtId="0" fontId="28" fillId="0" borderId="0" xfId="58" applyFont="1" applyFill="1" applyBorder="1" applyAlignment="1" applyProtection="1">
      <alignment horizontal="left" vertical="center"/>
      <protection/>
    </xf>
    <xf numFmtId="0" fontId="28" fillId="0" borderId="22" xfId="58" applyFont="1" applyFill="1" applyBorder="1" applyAlignment="1" applyProtection="1">
      <alignment horizontal="left" vertical="center"/>
      <protection/>
    </xf>
    <xf numFmtId="0" fontId="28" fillId="0" borderId="13" xfId="58" applyFont="1" applyFill="1" applyBorder="1" applyProtection="1">
      <alignment/>
      <protection/>
    </xf>
    <xf numFmtId="0" fontId="28" fillId="4" borderId="14" xfId="58" applyFont="1" applyFill="1" applyBorder="1" applyAlignment="1" applyProtection="1">
      <alignment horizontal="center" vertical="center"/>
      <protection locked="0"/>
    </xf>
    <xf numFmtId="2" fontId="28" fillId="0" borderId="24" xfId="58" applyNumberFormat="1" applyFont="1" applyFill="1" applyBorder="1" applyAlignment="1" applyProtection="1">
      <alignment horizontal="left" vertical="center" shrinkToFit="1"/>
      <protection/>
    </xf>
    <xf numFmtId="0" fontId="28" fillId="4" borderId="25" xfId="58" applyFont="1" applyFill="1" applyBorder="1" applyAlignment="1" applyProtection="1">
      <alignment horizontal="center" vertical="center"/>
      <protection locked="0"/>
    </xf>
    <xf numFmtId="2" fontId="28" fillId="0" borderId="26" xfId="58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58" applyFont="1" applyFill="1" applyAlignment="1" applyProtection="1">
      <alignment/>
      <protection/>
    </xf>
    <xf numFmtId="0" fontId="30" fillId="0" borderId="0" xfId="58" applyFont="1" applyFill="1" applyProtection="1">
      <alignment/>
      <protection/>
    </xf>
    <xf numFmtId="0" fontId="30" fillId="0" borderId="27" xfId="58" applyFont="1" applyFill="1" applyBorder="1" applyAlignment="1" applyProtection="1">
      <alignment horizontal="center" vertical="center"/>
      <protection/>
    </xf>
    <xf numFmtId="0" fontId="30" fillId="0" borderId="28" xfId="58" applyFont="1" applyFill="1" applyBorder="1" applyAlignment="1" applyProtection="1">
      <alignment horizontal="left" vertical="center"/>
      <protection/>
    </xf>
    <xf numFmtId="0" fontId="30" fillId="0" borderId="29" xfId="58" applyFont="1" applyFill="1" applyBorder="1" applyAlignment="1" applyProtection="1">
      <alignment horizontal="center" vertical="center"/>
      <protection/>
    </xf>
    <xf numFmtId="0" fontId="30" fillId="0" borderId="30" xfId="58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30" fillId="0" borderId="0" xfId="58" applyFont="1" applyFill="1" applyAlignment="1" applyProtection="1">
      <alignment horizontal="center"/>
      <protection/>
    </xf>
    <xf numFmtId="0" fontId="30" fillId="0" borderId="28" xfId="58" applyFont="1" applyFill="1" applyBorder="1" applyAlignment="1" applyProtection="1">
      <alignment vertical="center"/>
      <protection/>
    </xf>
    <xf numFmtId="0" fontId="30" fillId="0" borderId="0" xfId="58" applyFont="1" applyFill="1" applyBorder="1" applyAlignment="1" applyProtection="1">
      <alignment horizontal="center" vertical="center"/>
      <protection/>
    </xf>
    <xf numFmtId="0" fontId="30" fillId="0" borderId="13" xfId="58" applyFont="1" applyFill="1" applyBorder="1" applyAlignment="1" applyProtection="1">
      <alignment horizontal="center" vertical="center"/>
      <protection/>
    </xf>
    <xf numFmtId="0" fontId="30" fillId="0" borderId="0" xfId="58" applyFont="1" applyFill="1" applyBorder="1" applyProtection="1">
      <alignment/>
      <protection/>
    </xf>
    <xf numFmtId="0" fontId="30" fillId="0" borderId="0" xfId="58" applyFont="1" applyFill="1" applyBorder="1" applyAlignment="1" applyProtection="1">
      <alignment vertical="center"/>
      <protection/>
    </xf>
    <xf numFmtId="0" fontId="30" fillId="0" borderId="15" xfId="58" applyFont="1" applyFill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vertical="center"/>
    </xf>
    <xf numFmtId="0" fontId="32" fillId="24" borderId="0" xfId="0" applyFont="1" applyFill="1" applyBorder="1" applyAlignment="1" applyProtection="1">
      <alignment horizontal="center" vertical="center"/>
      <protection hidden="1"/>
    </xf>
    <xf numFmtId="0" fontId="33" fillId="24" borderId="0" xfId="0" applyFont="1" applyFill="1" applyBorder="1" applyAlignment="1" applyProtection="1">
      <alignment horizontal="left" vertical="center"/>
      <protection hidden="1"/>
    </xf>
    <xf numFmtId="0" fontId="33" fillId="24" borderId="0" xfId="0" applyFont="1" applyFill="1" applyBorder="1" applyAlignment="1" applyProtection="1">
      <alignment horizontal="center" vertical="center"/>
      <protection hidden="1"/>
    </xf>
    <xf numFmtId="0" fontId="33" fillId="24" borderId="0" xfId="0" applyFont="1" applyFill="1" applyBorder="1" applyAlignment="1" applyProtection="1">
      <alignment horizontal="center" vertical="center"/>
      <protection hidden="1"/>
    </xf>
    <xf numFmtId="176" fontId="32" fillId="24" borderId="0" xfId="0" applyNumberFormat="1" applyFont="1" applyFill="1" applyBorder="1" applyAlignment="1" applyProtection="1">
      <alignment vertical="center"/>
      <protection hidden="1"/>
    </xf>
    <xf numFmtId="0" fontId="32" fillId="24" borderId="0" xfId="0" applyFont="1" applyFill="1" applyBorder="1" applyAlignment="1" applyProtection="1">
      <alignment horizontal="left" vertical="center"/>
      <protection hidden="1"/>
    </xf>
    <xf numFmtId="0" fontId="34" fillId="24" borderId="0" xfId="0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Border="1" applyAlignment="1" applyProtection="1">
      <alignment horizontal="center" vertical="center"/>
      <protection hidden="1"/>
    </xf>
    <xf numFmtId="176" fontId="32" fillId="24" borderId="0" xfId="0" applyNumberFormat="1" applyFont="1" applyFill="1" applyBorder="1" applyAlignment="1" applyProtection="1">
      <alignment horizontal="left" vertical="center"/>
      <protection hidden="1"/>
    </xf>
    <xf numFmtId="0" fontId="39" fillId="24" borderId="0" xfId="0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left" vertical="center"/>
      <protection hidden="1"/>
    </xf>
    <xf numFmtId="0" fontId="0" fillId="24" borderId="0" xfId="0" applyFont="1" applyFill="1" applyBorder="1" applyAlignment="1" applyProtection="1">
      <alignment horizontal="center" vertical="center"/>
      <protection hidden="1"/>
    </xf>
    <xf numFmtId="0" fontId="28" fillId="0" borderId="16" xfId="58" applyFont="1" applyFill="1" applyBorder="1" applyProtection="1">
      <alignment/>
      <protection/>
    </xf>
    <xf numFmtId="0" fontId="30" fillId="0" borderId="31" xfId="58" applyFont="1" applyFill="1" applyBorder="1" applyAlignment="1" applyProtection="1">
      <alignment vertical="center"/>
      <protection/>
    </xf>
    <xf numFmtId="0" fontId="30" fillId="0" borderId="32" xfId="58" applyFont="1" applyFill="1" applyBorder="1" applyAlignment="1" applyProtection="1">
      <alignment vertical="center"/>
      <protection/>
    </xf>
    <xf numFmtId="0" fontId="30" fillId="0" borderId="33" xfId="58" applyFont="1" applyFill="1" applyBorder="1" applyAlignment="1" applyProtection="1">
      <alignment vertical="center"/>
      <protection/>
    </xf>
    <xf numFmtId="0" fontId="30" fillId="0" borderId="33" xfId="58" applyFont="1" applyFill="1" applyBorder="1" applyAlignment="1" applyProtection="1">
      <alignment horizontal="center" vertical="center"/>
      <protection/>
    </xf>
    <xf numFmtId="0" fontId="30" fillId="0" borderId="34" xfId="58" applyFont="1" applyFill="1" applyBorder="1" applyAlignment="1" applyProtection="1">
      <alignment vertical="center"/>
      <protection/>
    </xf>
    <xf numFmtId="0" fontId="28" fillId="0" borderId="13" xfId="58" applyFont="1" applyFill="1" applyBorder="1" applyAlignment="1" applyProtection="1">
      <alignment horizontal="center" vertical="center"/>
      <protection/>
    </xf>
    <xf numFmtId="0" fontId="30" fillId="0" borderId="35" xfId="58" applyFont="1" applyFill="1" applyBorder="1" applyAlignment="1" applyProtection="1">
      <alignment horizontal="left" vertical="center"/>
      <protection/>
    </xf>
    <xf numFmtId="0" fontId="28" fillId="0" borderId="15" xfId="58" applyFont="1" applyFill="1" applyBorder="1" applyAlignment="1" applyProtection="1">
      <alignment horizontal="center" vertical="center"/>
      <protection/>
    </xf>
    <xf numFmtId="0" fontId="28" fillId="0" borderId="36" xfId="58" applyFont="1" applyFill="1" applyBorder="1" applyAlignment="1" applyProtection="1">
      <alignment horizontal="right" vertical="center"/>
      <protection/>
    </xf>
    <xf numFmtId="0" fontId="42" fillId="24" borderId="0" xfId="58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Border="1" applyAlignment="1" applyProtection="1">
      <alignment horizontal="left" vertical="center"/>
      <protection hidden="1"/>
    </xf>
    <xf numFmtId="0" fontId="2" fillId="24" borderId="0" xfId="0" applyFont="1" applyFill="1" applyBorder="1" applyAlignment="1" applyProtection="1">
      <alignment horizontal="right" vertical="center" wrapText="1"/>
      <protection hidden="1"/>
    </xf>
    <xf numFmtId="0" fontId="24" fillId="24" borderId="0" xfId="54" applyFont="1" applyFill="1" applyBorder="1" applyAlignment="1" applyProtection="1">
      <alignment horizontal="right" vertical="center"/>
      <protection hidden="1"/>
    </xf>
    <xf numFmtId="176" fontId="38" fillId="24" borderId="0" xfId="54" applyNumberFormat="1" applyFont="1" applyFill="1" applyBorder="1" applyAlignment="1" applyProtection="1">
      <alignment horizontal="left" vertical="center"/>
      <protection hidden="1"/>
    </xf>
    <xf numFmtId="176" fontId="26" fillId="24" borderId="0" xfId="54" applyNumberFormat="1" applyFont="1" applyFill="1" applyBorder="1" applyAlignment="1" applyProtection="1">
      <alignment horizontal="left"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176" fontId="16" fillId="24" borderId="0" xfId="0" applyNumberFormat="1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 shrinkToFit="1"/>
      <protection hidden="1"/>
    </xf>
    <xf numFmtId="1" fontId="24" fillId="24" borderId="37" xfId="0" applyNumberFormat="1" applyFont="1" applyFill="1" applyBorder="1" applyAlignment="1" applyProtection="1">
      <alignment horizontal="center"/>
      <protection hidden="1"/>
    </xf>
    <xf numFmtId="1" fontId="24" fillId="24" borderId="0" xfId="0" applyNumberFormat="1" applyFont="1" applyFill="1" applyBorder="1" applyAlignment="1" applyProtection="1">
      <alignment horizontal="center"/>
      <protection hidden="1"/>
    </xf>
    <xf numFmtId="1" fontId="1" fillId="24" borderId="0" xfId="0" applyNumberFormat="1" applyFont="1" applyFill="1" applyBorder="1" applyAlignment="1" applyProtection="1">
      <alignment vertical="center"/>
      <protection hidden="1"/>
    </xf>
    <xf numFmtId="10" fontId="0" fillId="24" borderId="0" xfId="0" applyNumberFormat="1" applyFont="1" applyFill="1" applyBorder="1" applyAlignment="1" applyProtection="1">
      <alignment horizontal="center" vertical="center"/>
      <protection hidden="1"/>
    </xf>
    <xf numFmtId="176" fontId="0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0" xfId="0" applyFont="1" applyFill="1" applyBorder="1" applyAlignment="1" applyProtection="1">
      <alignment horizontal="right" vertical="center"/>
      <protection hidden="1"/>
    </xf>
    <xf numFmtId="175" fontId="2" fillId="24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60" applyAlignment="1" applyProtection="1">
      <alignment horizontal="center"/>
      <protection hidden="1"/>
    </xf>
    <xf numFmtId="0" fontId="40" fillId="24" borderId="0" xfId="0" applyFont="1" applyFill="1" applyBorder="1" applyAlignment="1" applyProtection="1">
      <alignment horizontal="center" vertical="center"/>
      <protection hidden="1"/>
    </xf>
    <xf numFmtId="1" fontId="16" fillId="24" borderId="0" xfId="0" applyNumberFormat="1" applyFont="1" applyFill="1" applyBorder="1" applyAlignment="1" applyProtection="1">
      <alignment horizontal="center"/>
      <protection hidden="1"/>
    </xf>
    <xf numFmtId="177" fontId="40" fillId="24" borderId="0" xfId="63" applyNumberFormat="1" applyFont="1" applyFill="1" applyBorder="1" applyAlignment="1" applyProtection="1">
      <alignment horizontal="center" vertical="center"/>
      <protection/>
    </xf>
    <xf numFmtId="1" fontId="24" fillId="24" borderId="11" xfId="0" applyNumberFormat="1" applyFont="1" applyFill="1" applyBorder="1" applyAlignment="1" applyProtection="1">
      <alignment horizontal="center"/>
      <protection hidden="1"/>
    </xf>
    <xf numFmtId="1" fontId="24" fillId="24" borderId="38" xfId="0" applyNumberFormat="1" applyFont="1" applyFill="1" applyBorder="1" applyAlignment="1" applyProtection="1">
      <alignment horizontal="center"/>
      <protection hidden="1"/>
    </xf>
    <xf numFmtId="1" fontId="24" fillId="24" borderId="39" xfId="0" applyNumberFormat="1" applyFont="1" applyFill="1" applyBorder="1" applyAlignment="1" applyProtection="1">
      <alignment horizontal="center"/>
      <protection hidden="1"/>
    </xf>
    <xf numFmtId="2" fontId="28" fillId="0" borderId="0" xfId="58" applyNumberFormat="1" applyFont="1" applyFill="1" applyProtection="1">
      <alignment/>
      <protection/>
    </xf>
    <xf numFmtId="1" fontId="1" fillId="24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36" xfId="58" applyFont="1" applyFill="1" applyBorder="1" applyAlignment="1" applyProtection="1">
      <alignment horizontal="right" vertical="center"/>
      <protection/>
    </xf>
    <xf numFmtId="176" fontId="1" fillId="24" borderId="0" xfId="0" applyNumberFormat="1" applyFont="1" applyFill="1" applyBorder="1" applyAlignment="1" applyProtection="1">
      <alignment horizontal="left" vertical="center"/>
      <protection hidden="1"/>
    </xf>
    <xf numFmtId="0" fontId="51" fillId="24" borderId="0" xfId="58" applyFont="1" applyFill="1" applyBorder="1" applyAlignment="1" applyProtection="1">
      <alignment horizontal="center" vertical="center"/>
      <protection/>
    </xf>
    <xf numFmtId="0" fontId="28" fillId="0" borderId="23" xfId="58" applyFont="1" applyFill="1" applyBorder="1" applyProtection="1">
      <alignment/>
      <protection/>
    </xf>
    <xf numFmtId="0" fontId="38" fillId="24" borderId="0" xfId="54" applyFont="1" applyFill="1" applyBorder="1" applyAlignment="1" applyProtection="1">
      <alignment horizontal="left" vertical="center"/>
      <protection locked="0"/>
    </xf>
    <xf numFmtId="1" fontId="38" fillId="24" borderId="0" xfId="54" applyNumberFormat="1" applyFont="1" applyFill="1" applyBorder="1" applyAlignment="1" applyProtection="1">
      <alignment horizontal="right" vertical="center"/>
      <protection locked="0"/>
    </xf>
    <xf numFmtId="1" fontId="38" fillId="24" borderId="0" xfId="54" applyNumberFormat="1" applyFont="1" applyFill="1" applyBorder="1" applyAlignment="1" applyProtection="1">
      <alignment horizontal="right" vertical="center"/>
      <protection locked="0"/>
    </xf>
    <xf numFmtId="0" fontId="32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38" fillId="24" borderId="0" xfId="54" applyFont="1" applyFill="1" applyBorder="1" applyAlignment="1" applyProtection="1">
      <alignment horizontal="right" vertical="center"/>
      <protection locked="0"/>
    </xf>
    <xf numFmtId="0" fontId="43" fillId="24" borderId="40" xfId="0" applyFont="1" applyFill="1" applyBorder="1" applyAlignment="1" applyProtection="1">
      <alignment horizontal="center" vertical="center"/>
      <protection hidden="1"/>
    </xf>
    <xf numFmtId="0" fontId="43" fillId="24" borderId="40" xfId="58" applyFont="1" applyFill="1" applyBorder="1" applyAlignment="1" applyProtection="1">
      <alignment horizontal="center" vertical="center"/>
      <protection hidden="1"/>
    </xf>
    <xf numFmtId="0" fontId="43" fillId="24" borderId="0" xfId="0" applyFont="1" applyFill="1" applyBorder="1" applyAlignment="1" applyProtection="1">
      <alignment horizontal="center" vertical="center"/>
      <protection hidden="1"/>
    </xf>
    <xf numFmtId="0" fontId="54" fillId="24" borderId="40" xfId="54" applyFont="1" applyFill="1" applyBorder="1" applyAlignment="1" applyProtection="1">
      <alignment horizontal="center" vertical="center"/>
      <protection locked="0"/>
    </xf>
    <xf numFmtId="0" fontId="55" fillId="0" borderId="0" xfId="58" applyFont="1" applyFill="1" applyProtection="1">
      <alignment/>
      <protection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6" fillId="24" borderId="0" xfId="0" applyFont="1" applyFill="1" applyBorder="1" applyAlignment="1" applyProtection="1">
      <alignment horizontal="center" vertical="center"/>
      <protection/>
    </xf>
    <xf numFmtId="2" fontId="57" fillId="0" borderId="0" xfId="58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0" xfId="58" applyFont="1" applyFill="1" applyAlignment="1" applyProtection="1">
      <alignment horizontal="center"/>
      <protection/>
    </xf>
    <xf numFmtId="0" fontId="28" fillId="0" borderId="0" xfId="58" applyFont="1" applyFill="1" applyBorder="1" applyAlignment="1" applyProtection="1">
      <alignment horizontal="center"/>
      <protection/>
    </xf>
    <xf numFmtId="0" fontId="30" fillId="0" borderId="16" xfId="58" applyFont="1" applyFill="1" applyBorder="1" applyProtection="1">
      <alignment/>
      <protection/>
    </xf>
    <xf numFmtId="1" fontId="44" fillId="4" borderId="41" xfId="0" applyNumberFormat="1" applyFont="1" applyFill="1" applyBorder="1" applyAlignment="1" applyProtection="1">
      <alignment horizontal="center" vertical="center"/>
      <protection locked="0"/>
    </xf>
    <xf numFmtId="1" fontId="45" fillId="4" borderId="42" xfId="0" applyNumberFormat="1" applyFont="1" applyFill="1" applyBorder="1" applyAlignment="1" applyProtection="1">
      <alignment horizontal="center" vertical="center"/>
      <protection locked="0"/>
    </xf>
    <xf numFmtId="1" fontId="44" fillId="4" borderId="43" xfId="0" applyNumberFormat="1" applyFont="1" applyFill="1" applyBorder="1" applyAlignment="1" applyProtection="1">
      <alignment horizontal="center" vertical="center"/>
      <protection locked="0"/>
    </xf>
    <xf numFmtId="0" fontId="44" fillId="4" borderId="42" xfId="0" applyNumberFormat="1" applyFont="1" applyFill="1" applyBorder="1" applyAlignment="1" applyProtection="1">
      <alignment horizontal="center" vertical="center"/>
      <protection locked="0"/>
    </xf>
    <xf numFmtId="0" fontId="44" fillId="4" borderId="43" xfId="0" applyNumberFormat="1" applyFont="1" applyFill="1" applyBorder="1" applyAlignment="1" applyProtection="1">
      <alignment horizontal="center" vertical="center"/>
      <protection locked="0"/>
    </xf>
    <xf numFmtId="0" fontId="44" fillId="4" borderId="44" xfId="0" applyNumberFormat="1" applyFont="1" applyFill="1" applyBorder="1" applyAlignment="1" applyProtection="1">
      <alignment horizontal="center" vertical="center"/>
      <protection locked="0"/>
    </xf>
    <xf numFmtId="0" fontId="44" fillId="4" borderId="45" xfId="0" applyFont="1" applyFill="1" applyBorder="1" applyAlignment="1" applyProtection="1">
      <alignment horizontal="center" vertical="center"/>
      <protection locked="0"/>
    </xf>
    <xf numFmtId="1" fontId="45" fillId="4" borderId="0" xfId="0" applyNumberFormat="1" applyFont="1" applyFill="1" applyBorder="1" applyAlignment="1" applyProtection="1">
      <alignment horizontal="center" vertical="center"/>
      <protection locked="0"/>
    </xf>
    <xf numFmtId="0" fontId="44" fillId="4" borderId="46" xfId="0" applyFont="1" applyFill="1" applyBorder="1" applyAlignment="1" applyProtection="1">
      <alignment horizontal="center" vertical="center"/>
      <protection locked="0"/>
    </xf>
    <xf numFmtId="0" fontId="44" fillId="4" borderId="0" xfId="0" applyNumberFormat="1" applyFont="1" applyFill="1" applyBorder="1" applyAlignment="1" applyProtection="1">
      <alignment horizontal="center" vertical="center"/>
      <protection locked="0"/>
    </xf>
    <xf numFmtId="0" fontId="44" fillId="4" borderId="46" xfId="0" applyNumberFormat="1" applyFont="1" applyFill="1" applyBorder="1" applyAlignment="1" applyProtection="1">
      <alignment horizontal="center" vertical="center"/>
      <protection locked="0"/>
    </xf>
    <xf numFmtId="0" fontId="44" fillId="4" borderId="15" xfId="0" applyNumberFormat="1" applyFont="1" applyFill="1" applyBorder="1" applyAlignment="1" applyProtection="1">
      <alignment horizontal="center" vertical="center"/>
      <protection locked="0"/>
    </xf>
    <xf numFmtId="1" fontId="44" fillId="4" borderId="45" xfId="0" applyNumberFormat="1" applyFont="1" applyFill="1" applyBorder="1" applyAlignment="1" applyProtection="1">
      <alignment horizontal="center" vertical="center"/>
      <protection locked="0"/>
    </xf>
    <xf numFmtId="1" fontId="44" fillId="4" borderId="46" xfId="0" applyNumberFormat="1" applyFont="1" applyFill="1" applyBorder="1" applyAlignment="1" applyProtection="1">
      <alignment horizontal="center" vertical="center"/>
      <protection locked="0"/>
    </xf>
    <xf numFmtId="1" fontId="44" fillId="4" borderId="47" xfId="0" applyNumberFormat="1" applyFont="1" applyFill="1" applyBorder="1" applyAlignment="1" applyProtection="1">
      <alignment horizontal="center" vertical="center"/>
      <protection locked="0"/>
    </xf>
    <xf numFmtId="1" fontId="45" fillId="4" borderId="11" xfId="0" applyNumberFormat="1" applyFont="1" applyFill="1" applyBorder="1" applyAlignment="1" applyProtection="1">
      <alignment horizontal="center" vertical="center"/>
      <protection locked="0"/>
    </xf>
    <xf numFmtId="1" fontId="44" fillId="4" borderId="48" xfId="0" applyNumberFormat="1" applyFont="1" applyFill="1" applyBorder="1" applyAlignment="1" applyProtection="1">
      <alignment horizontal="center" vertical="center"/>
      <protection locked="0"/>
    </xf>
    <xf numFmtId="0" fontId="44" fillId="4" borderId="11" xfId="0" applyNumberFormat="1" applyFont="1" applyFill="1" applyBorder="1" applyAlignment="1" applyProtection="1">
      <alignment horizontal="center" vertical="center"/>
      <protection locked="0"/>
    </xf>
    <xf numFmtId="0" fontId="44" fillId="4" borderId="48" xfId="0" applyNumberFormat="1" applyFont="1" applyFill="1" applyBorder="1" applyAlignment="1" applyProtection="1">
      <alignment horizontal="center" vertical="center"/>
      <protection locked="0"/>
    </xf>
    <xf numFmtId="0" fontId="44" fillId="4" borderId="49" xfId="0" applyNumberFormat="1" applyFont="1" applyFill="1" applyBorder="1" applyAlignment="1" applyProtection="1">
      <alignment horizontal="center" vertical="center"/>
      <protection locked="0"/>
    </xf>
    <xf numFmtId="0" fontId="51" fillId="0" borderId="0" xfId="58" applyFont="1" applyFill="1" applyBorder="1" applyAlignment="1" applyProtection="1">
      <alignment horizontal="left" vertical="center"/>
      <protection/>
    </xf>
    <xf numFmtId="0" fontId="51" fillId="0" borderId="0" xfId="58" applyFont="1" applyFill="1" applyBorder="1" applyAlignment="1" applyProtection="1">
      <alignment horizontal="center" vertical="center"/>
      <protection/>
    </xf>
    <xf numFmtId="204" fontId="51" fillId="24" borderId="0" xfId="58" applyNumberFormat="1" applyFont="1" applyFill="1" applyBorder="1" applyAlignment="1" applyProtection="1">
      <alignment horizontal="center" vertical="center"/>
      <protection/>
    </xf>
    <xf numFmtId="176" fontId="51" fillId="4" borderId="0" xfId="58" applyNumberFormat="1" applyFont="1" applyFill="1" applyBorder="1" applyAlignment="1" applyProtection="1">
      <alignment horizontal="center" vertical="center"/>
      <protection locked="0"/>
    </xf>
    <xf numFmtId="176" fontId="51" fillId="4" borderId="10" xfId="58" applyNumberFormat="1" applyFont="1" applyFill="1" applyBorder="1" applyAlignment="1" applyProtection="1">
      <alignment horizontal="center" vertical="center"/>
      <protection locked="0"/>
    </xf>
    <xf numFmtId="2" fontId="51" fillId="0" borderId="0" xfId="58" applyNumberFormat="1" applyFont="1" applyFill="1" applyBorder="1" applyAlignment="1" applyProtection="1">
      <alignment horizontal="center" vertical="center"/>
      <protection/>
    </xf>
    <xf numFmtId="176" fontId="51" fillId="24" borderId="46" xfId="58" applyNumberFormat="1" applyFont="1" applyFill="1" applyBorder="1" applyAlignment="1" applyProtection="1">
      <alignment horizontal="center" vertical="center"/>
      <protection/>
    </xf>
    <xf numFmtId="176" fontId="51" fillId="24" borderId="50" xfId="58" applyNumberFormat="1" applyFont="1" applyFill="1" applyBorder="1" applyAlignment="1" applyProtection="1">
      <alignment horizontal="center" vertical="center"/>
      <protection/>
    </xf>
    <xf numFmtId="14" fontId="51" fillId="0" borderId="0" xfId="58" applyNumberFormat="1" applyFont="1" applyFill="1" applyBorder="1" applyAlignment="1" applyProtection="1">
      <alignment horizontal="center" vertical="center"/>
      <protection/>
    </xf>
    <xf numFmtId="1" fontId="51" fillId="0" borderId="0" xfId="58" applyNumberFormat="1" applyFont="1" applyFill="1" applyBorder="1" applyAlignment="1" applyProtection="1">
      <alignment horizontal="center" vertical="center"/>
      <protection/>
    </xf>
    <xf numFmtId="1" fontId="45" fillId="4" borderId="26" xfId="0" applyNumberFormat="1" applyFont="1" applyFill="1" applyBorder="1" applyAlignment="1" applyProtection="1">
      <alignment horizontal="center" vertical="center"/>
      <protection locked="0"/>
    </xf>
    <xf numFmtId="0" fontId="45" fillId="4" borderId="26" xfId="0" applyFont="1" applyFill="1" applyBorder="1" applyAlignment="1" applyProtection="1">
      <alignment horizontal="center" vertical="center"/>
      <protection locked="0"/>
    </xf>
    <xf numFmtId="0" fontId="59" fillId="24" borderId="0" xfId="58" applyFont="1" applyFill="1" applyBorder="1" applyAlignment="1" applyProtection="1">
      <alignment horizontal="center" vertical="center"/>
      <protection/>
    </xf>
    <xf numFmtId="0" fontId="60" fillId="24" borderId="0" xfId="58" applyFont="1" applyFill="1" applyBorder="1" applyAlignment="1" applyProtection="1">
      <alignment horizontal="center" vertical="center"/>
      <protection/>
    </xf>
    <xf numFmtId="0" fontId="53" fillId="24" borderId="0" xfId="58" applyFont="1" applyFill="1" applyBorder="1" applyAlignment="1" applyProtection="1">
      <alignment horizontal="center" vertical="center"/>
      <protection/>
    </xf>
    <xf numFmtId="176" fontId="53" fillId="24" borderId="15" xfId="58" applyNumberFormat="1" applyFont="1" applyFill="1" applyBorder="1" applyAlignment="1" applyProtection="1">
      <alignment horizontal="center" vertical="center"/>
      <protection/>
    </xf>
    <xf numFmtId="176" fontId="53" fillId="24" borderId="46" xfId="58" applyNumberFormat="1" applyFont="1" applyFill="1" applyBorder="1" applyAlignment="1" applyProtection="1">
      <alignment horizontal="center" vertical="center"/>
      <protection/>
    </xf>
    <xf numFmtId="176" fontId="53" fillId="24" borderId="0" xfId="58" applyNumberFormat="1" applyFont="1" applyFill="1" applyBorder="1" applyAlignment="1" applyProtection="1">
      <alignment horizontal="center" vertical="center"/>
      <protection/>
    </xf>
    <xf numFmtId="176" fontId="53" fillId="24" borderId="45" xfId="58" applyNumberFormat="1" applyFont="1" applyFill="1" applyBorder="1" applyAlignment="1" applyProtection="1">
      <alignment horizontal="center" vertical="center"/>
      <protection/>
    </xf>
    <xf numFmtId="0" fontId="59" fillId="24" borderId="0" xfId="58" applyNumberFormat="1" applyFont="1" applyFill="1" applyBorder="1" applyAlignment="1" applyProtection="1">
      <alignment horizontal="center" vertical="center"/>
      <protection/>
    </xf>
    <xf numFmtId="0" fontId="51" fillId="24" borderId="0" xfId="58" applyNumberFormat="1" applyFont="1" applyFill="1" applyBorder="1" applyAlignment="1" applyProtection="1">
      <alignment horizontal="center" vertical="center"/>
      <protection/>
    </xf>
    <xf numFmtId="0" fontId="51" fillId="24" borderId="0" xfId="58" applyNumberFormat="1" applyFont="1" applyFill="1" applyBorder="1" applyAlignment="1" applyProtection="1">
      <alignment horizontal="left" vertical="center"/>
      <protection/>
    </xf>
    <xf numFmtId="14" fontId="51" fillId="24" borderId="0" xfId="58" applyNumberFormat="1" applyFont="1" applyFill="1" applyBorder="1" applyAlignment="1" applyProtection="1">
      <alignment horizontal="center" vertical="center"/>
      <protection/>
    </xf>
    <xf numFmtId="1" fontId="51" fillId="24" borderId="0" xfId="58" applyNumberFormat="1" applyFont="1" applyFill="1" applyBorder="1" applyAlignment="1" applyProtection="1">
      <alignment horizontal="center" vertical="center"/>
      <protection/>
    </xf>
    <xf numFmtId="0" fontId="52" fillId="24" borderId="0" xfId="58" applyNumberFormat="1" applyFont="1" applyFill="1" applyBorder="1" applyAlignment="1" applyProtection="1">
      <alignment horizontal="center" vertical="center"/>
      <protection/>
    </xf>
    <xf numFmtId="2" fontId="51" fillId="24" borderId="0" xfId="58" applyNumberFormat="1" applyFont="1" applyFill="1" applyBorder="1" applyAlignment="1" applyProtection="1">
      <alignment horizontal="center" vertical="center"/>
      <protection/>
    </xf>
    <xf numFmtId="204" fontId="51" fillId="0" borderId="0" xfId="58" applyNumberFormat="1" applyFont="1" applyFill="1" applyBorder="1" applyAlignment="1" applyProtection="1">
      <alignment horizontal="center" vertical="center"/>
      <protection/>
    </xf>
    <xf numFmtId="0" fontId="28" fillId="4" borderId="51" xfId="58" applyFont="1" applyFill="1" applyBorder="1" applyAlignment="1" applyProtection="1">
      <alignment horizontal="center" vertical="center"/>
      <protection locked="0"/>
    </xf>
    <xf numFmtId="0" fontId="28" fillId="4" borderId="52" xfId="58" applyFont="1" applyFill="1" applyBorder="1" applyAlignment="1" applyProtection="1">
      <alignment horizontal="center" vertical="center"/>
      <protection locked="0"/>
    </xf>
    <xf numFmtId="2" fontId="28" fillId="0" borderId="43" xfId="58" applyNumberFormat="1" applyFont="1" applyFill="1" applyBorder="1" applyAlignment="1" applyProtection="1">
      <alignment horizontal="left" vertical="center" wrapText="1"/>
      <protection/>
    </xf>
    <xf numFmtId="176" fontId="43" fillId="24" borderId="0" xfId="0" applyNumberFormat="1" applyFont="1" applyFill="1" applyBorder="1" applyAlignment="1" applyProtection="1">
      <alignment horizontal="center" vertical="center"/>
      <protection hidden="1"/>
    </xf>
    <xf numFmtId="1" fontId="43" fillId="24" borderId="0" xfId="0" applyNumberFormat="1" applyFont="1" applyFill="1" applyBorder="1" applyAlignment="1" applyProtection="1">
      <alignment horizontal="center" vertical="center"/>
      <protection hidden="1"/>
    </xf>
    <xf numFmtId="0" fontId="43" fillId="24" borderId="53" xfId="0" applyFont="1" applyFill="1" applyBorder="1" applyAlignment="1" applyProtection="1">
      <alignment horizontal="center" vertical="center"/>
      <protection hidden="1"/>
    </xf>
    <xf numFmtId="1" fontId="43" fillId="24" borderId="53" xfId="0" applyNumberFormat="1" applyFont="1" applyFill="1" applyBorder="1" applyAlignment="1" applyProtection="1">
      <alignment horizontal="center" vertical="center"/>
      <protection hidden="1"/>
    </xf>
    <xf numFmtId="0" fontId="43" fillId="24" borderId="54" xfId="0" applyFont="1" applyFill="1" applyBorder="1" applyAlignment="1" applyProtection="1">
      <alignment horizontal="center" vertical="center"/>
      <protection hidden="1"/>
    </xf>
    <xf numFmtId="0" fontId="43" fillId="24" borderId="13" xfId="0" applyFont="1" applyFill="1" applyBorder="1" applyAlignment="1" applyProtection="1">
      <alignment horizontal="center" vertical="center"/>
      <protection hidden="1"/>
    </xf>
    <xf numFmtId="0" fontId="43" fillId="24" borderId="55" xfId="0" applyFont="1" applyFill="1" applyBorder="1" applyAlignment="1" applyProtection="1">
      <alignment horizontal="center" vertical="center"/>
      <protection hidden="1"/>
    </xf>
    <xf numFmtId="9" fontId="43" fillId="24" borderId="33" xfId="63" applyFont="1" applyFill="1" applyBorder="1" applyAlignment="1" applyProtection="1">
      <alignment horizontal="center" vertical="center"/>
      <protection hidden="1"/>
    </xf>
    <xf numFmtId="1" fontId="43" fillId="24" borderId="56" xfId="0" applyNumberFormat="1" applyFont="1" applyFill="1" applyBorder="1" applyAlignment="1" applyProtection="1">
      <alignment horizontal="center" vertical="center"/>
      <protection hidden="1"/>
    </xf>
    <xf numFmtId="1" fontId="43" fillId="24" borderId="14" xfId="0" applyNumberFormat="1" applyFont="1" applyFill="1" applyBorder="1" applyAlignment="1" applyProtection="1">
      <alignment horizontal="center" vertical="center"/>
      <protection hidden="1"/>
    </xf>
    <xf numFmtId="1" fontId="43" fillId="24" borderId="54" xfId="0" applyNumberFormat="1" applyFont="1" applyFill="1" applyBorder="1" applyAlignment="1" applyProtection="1">
      <alignment horizontal="center" vertical="center"/>
      <protection hidden="1"/>
    </xf>
    <xf numFmtId="0" fontId="43" fillId="24" borderId="13" xfId="0" applyFont="1" applyFill="1" applyBorder="1" applyAlignment="1" applyProtection="1">
      <alignment horizontal="center" vertical="center"/>
      <protection hidden="1"/>
    </xf>
    <xf numFmtId="9" fontId="43" fillId="24" borderId="0" xfId="63" applyFont="1" applyFill="1" applyBorder="1" applyAlignment="1" applyProtection="1">
      <alignment horizontal="center" vertical="center"/>
      <protection hidden="1"/>
    </xf>
    <xf numFmtId="1" fontId="43" fillId="24" borderId="16" xfId="0" applyNumberFormat="1" applyFont="1" applyFill="1" applyBorder="1" applyAlignment="1" applyProtection="1">
      <alignment horizontal="center" vertical="center"/>
      <protection hidden="1"/>
    </xf>
    <xf numFmtId="0" fontId="43" fillId="24" borderId="52" xfId="0" applyFont="1" applyFill="1" applyBorder="1" applyAlignment="1" applyProtection="1">
      <alignment horizontal="center" vertical="center"/>
      <protection hidden="1"/>
    </xf>
    <xf numFmtId="0" fontId="43" fillId="24" borderId="51" xfId="0" applyFont="1" applyFill="1" applyBorder="1" applyAlignment="1" applyProtection="1">
      <alignment horizontal="center" vertical="center"/>
      <protection hidden="1"/>
    </xf>
    <xf numFmtId="0" fontId="43" fillId="24" borderId="57" xfId="0" applyFont="1" applyFill="1" applyBorder="1" applyAlignment="1" applyProtection="1">
      <alignment horizontal="center" vertical="center"/>
      <protection hidden="1"/>
    </xf>
    <xf numFmtId="9" fontId="43" fillId="24" borderId="11" xfId="63" applyFont="1" applyFill="1" applyBorder="1" applyAlignment="1" applyProtection="1">
      <alignment horizontal="center" vertical="center"/>
      <protection hidden="1"/>
    </xf>
    <xf numFmtId="1" fontId="43" fillId="24" borderId="58" xfId="0" applyNumberFormat="1" applyFont="1" applyFill="1" applyBorder="1" applyAlignment="1" applyProtection="1">
      <alignment horizontal="center" vertical="center"/>
      <protection hidden="1"/>
    </xf>
    <xf numFmtId="1" fontId="43" fillId="4" borderId="25" xfId="0" applyNumberFormat="1" applyFont="1" applyFill="1" applyBorder="1" applyAlignment="1" applyProtection="1">
      <alignment horizontal="center" vertical="center"/>
      <protection locked="0"/>
    </xf>
    <xf numFmtId="49" fontId="43" fillId="24" borderId="55" xfId="0" applyNumberFormat="1" applyFont="1" applyFill="1" applyBorder="1" applyAlignment="1" applyProtection="1">
      <alignment horizontal="center" vertical="center"/>
      <protection hidden="1"/>
    </xf>
    <xf numFmtId="49" fontId="43" fillId="24" borderId="51" xfId="0" applyNumberFormat="1" applyFont="1" applyFill="1" applyBorder="1" applyAlignment="1" applyProtection="1">
      <alignment horizontal="center" vertical="center"/>
      <protection hidden="1"/>
    </xf>
    <xf numFmtId="49" fontId="43" fillId="24" borderId="56" xfId="0" applyNumberFormat="1" applyFont="1" applyFill="1" applyBorder="1" applyAlignment="1" applyProtection="1">
      <alignment horizontal="center" vertical="center"/>
      <protection hidden="1"/>
    </xf>
    <xf numFmtId="1" fontId="43" fillId="24" borderId="40" xfId="0" applyNumberFormat="1" applyFont="1" applyFill="1" applyBorder="1" applyAlignment="1" applyProtection="1">
      <alignment horizontal="center" vertical="center"/>
      <protection hidden="1"/>
    </xf>
    <xf numFmtId="1" fontId="43" fillId="24" borderId="14" xfId="58" applyNumberFormat="1" applyFont="1" applyFill="1" applyBorder="1" applyAlignment="1" applyProtection="1">
      <alignment horizontal="center" vertical="center"/>
      <protection hidden="1"/>
    </xf>
    <xf numFmtId="1" fontId="43" fillId="24" borderId="57" xfId="0" applyNumberFormat="1" applyFont="1" applyFill="1" applyBorder="1" applyAlignment="1" applyProtection="1">
      <alignment horizontal="center" vertical="center"/>
      <protection hidden="1"/>
    </xf>
    <xf numFmtId="1" fontId="43" fillId="24" borderId="25" xfId="0" applyNumberFormat="1" applyFont="1" applyFill="1" applyBorder="1" applyAlignment="1" applyProtection="1">
      <alignment horizontal="center" vertical="center"/>
      <protection hidden="1"/>
    </xf>
    <xf numFmtId="1" fontId="43" fillId="24" borderId="58" xfId="0" applyNumberFormat="1" applyFont="1" applyFill="1" applyBorder="1" applyAlignment="1" applyProtection="1">
      <alignment horizontal="center" vertical="center"/>
      <protection hidden="1"/>
    </xf>
    <xf numFmtId="1" fontId="43" fillId="24" borderId="13" xfId="0" applyNumberFormat="1" applyFont="1" applyFill="1" applyBorder="1" applyAlignment="1" applyProtection="1">
      <alignment horizontal="center" vertical="center"/>
      <protection hidden="1"/>
    </xf>
    <xf numFmtId="1" fontId="43" fillId="24" borderId="43" xfId="0" applyNumberFormat="1" applyFont="1" applyFill="1" applyBorder="1" applyAlignment="1" applyProtection="1">
      <alignment horizontal="center" vertical="center"/>
      <protection hidden="1"/>
    </xf>
    <xf numFmtId="1" fontId="43" fillId="24" borderId="59" xfId="0" applyNumberFormat="1" applyFont="1" applyFill="1" applyBorder="1" applyAlignment="1" applyProtection="1">
      <alignment horizontal="center" vertical="center"/>
      <protection hidden="1"/>
    </xf>
    <xf numFmtId="1" fontId="43" fillId="24" borderId="46" xfId="0" applyNumberFormat="1" applyFont="1" applyFill="1" applyBorder="1" applyAlignment="1" applyProtection="1">
      <alignment horizontal="center" vertical="center"/>
      <protection hidden="1"/>
    </xf>
    <xf numFmtId="1" fontId="43" fillId="24" borderId="16" xfId="0" applyNumberFormat="1" applyFont="1" applyFill="1" applyBorder="1" applyAlignment="1" applyProtection="1">
      <alignment horizontal="center" vertical="center"/>
      <protection hidden="1"/>
    </xf>
    <xf numFmtId="1" fontId="43" fillId="24" borderId="60" xfId="0" applyNumberFormat="1" applyFont="1" applyFill="1" applyBorder="1" applyAlignment="1" applyProtection="1">
      <alignment horizontal="center" vertical="center"/>
      <protection hidden="1"/>
    </xf>
    <xf numFmtId="1" fontId="43" fillId="24" borderId="50" xfId="0" applyNumberFormat="1" applyFont="1" applyFill="1" applyBorder="1" applyAlignment="1" applyProtection="1">
      <alignment horizontal="center" vertical="center"/>
      <protection hidden="1"/>
    </xf>
    <xf numFmtId="1" fontId="43" fillId="24" borderId="61" xfId="0" applyNumberFormat="1" applyFont="1" applyFill="1" applyBorder="1" applyAlignment="1" applyProtection="1">
      <alignment horizontal="center" vertical="center"/>
      <protection hidden="1"/>
    </xf>
    <xf numFmtId="1" fontId="43" fillId="24" borderId="62" xfId="0" applyNumberFormat="1" applyFont="1" applyFill="1" applyBorder="1" applyAlignment="1" applyProtection="1">
      <alignment horizontal="center" vertical="center"/>
      <protection hidden="1"/>
    </xf>
    <xf numFmtId="1" fontId="43" fillId="24" borderId="48" xfId="0" applyNumberFormat="1" applyFont="1" applyFill="1" applyBorder="1" applyAlignment="1" applyProtection="1">
      <alignment horizontal="center" vertical="center"/>
      <protection hidden="1"/>
    </xf>
    <xf numFmtId="1" fontId="43" fillId="24" borderId="63" xfId="0" applyNumberFormat="1" applyFont="1" applyFill="1" applyBorder="1" applyAlignment="1" applyProtection="1">
      <alignment horizontal="center" vertical="center"/>
      <protection hidden="1"/>
    </xf>
    <xf numFmtId="0" fontId="61" fillId="24" borderId="0" xfId="0" applyFont="1" applyFill="1" applyBorder="1" applyAlignment="1" applyProtection="1">
      <alignment horizontal="center" vertical="center"/>
      <protection hidden="1"/>
    </xf>
    <xf numFmtId="0" fontId="61" fillId="24" borderId="0" xfId="58" applyFont="1" applyFill="1" applyBorder="1" applyAlignment="1" applyProtection="1">
      <alignment horizontal="center" vertical="center" wrapText="1"/>
      <protection hidden="1"/>
    </xf>
    <xf numFmtId="0" fontId="62" fillId="24" borderId="0" xfId="0" applyFont="1" applyFill="1" applyBorder="1" applyAlignment="1" applyProtection="1">
      <alignment horizontal="center" vertical="center"/>
      <protection hidden="1"/>
    </xf>
    <xf numFmtId="0" fontId="43" fillId="24" borderId="0" xfId="0" applyFont="1" applyFill="1" applyBorder="1" applyAlignment="1" applyProtection="1">
      <alignment/>
      <protection hidden="1"/>
    </xf>
    <xf numFmtId="9" fontId="43" fillId="24" borderId="0" xfId="0" applyNumberFormat="1" applyFont="1" applyFill="1" applyBorder="1" applyAlignment="1" applyProtection="1">
      <alignment horizontal="center" vertical="center"/>
      <protection hidden="1"/>
    </xf>
    <xf numFmtId="0" fontId="43" fillId="24" borderId="0" xfId="58" applyFont="1" applyFill="1" applyBorder="1" applyAlignment="1" applyProtection="1">
      <alignment horizontal="center" vertical="center"/>
      <protection hidden="1"/>
    </xf>
    <xf numFmtId="176" fontId="28" fillId="0" borderId="26" xfId="58" applyNumberFormat="1" applyFont="1" applyFill="1" applyBorder="1" applyAlignment="1" applyProtection="1">
      <alignment horizontal="center" vertical="center"/>
      <protection/>
    </xf>
    <xf numFmtId="176" fontId="28" fillId="0" borderId="26" xfId="58" applyNumberFormat="1" applyFont="1" applyFill="1" applyBorder="1" applyAlignment="1" applyProtection="1">
      <alignment horizontal="center" vertical="center"/>
      <protection/>
    </xf>
    <xf numFmtId="176" fontId="28" fillId="4" borderId="14" xfId="58" applyNumberFormat="1" applyFont="1" applyFill="1" applyBorder="1" applyAlignment="1" applyProtection="1">
      <alignment horizontal="center" vertical="center"/>
      <protection locked="0"/>
    </xf>
    <xf numFmtId="176" fontId="28" fillId="4" borderId="14" xfId="58" applyNumberFormat="1" applyFont="1" applyFill="1" applyBorder="1" applyAlignment="1" applyProtection="1">
      <alignment horizontal="center" vertical="center"/>
      <protection locked="0"/>
    </xf>
    <xf numFmtId="176" fontId="28" fillId="0" borderId="26" xfId="44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Border="1" applyAlignment="1">
      <alignment horizontal="center" vertical="center"/>
    </xf>
    <xf numFmtId="209" fontId="51" fillId="24" borderId="0" xfId="58" applyNumberFormat="1" applyFont="1" applyFill="1" applyBorder="1" applyAlignment="1" applyProtection="1">
      <alignment horizontal="center" vertical="center"/>
      <protection/>
    </xf>
    <xf numFmtId="204" fontId="59" fillId="0" borderId="0" xfId="58" applyNumberFormat="1" applyFont="1" applyFill="1" applyBorder="1" applyAlignment="1" applyProtection="1">
      <alignment horizontal="center" vertical="center"/>
      <protection/>
    </xf>
    <xf numFmtId="14" fontId="59" fillId="24" borderId="0" xfId="58" applyNumberFormat="1" applyFont="1" applyFill="1" applyBorder="1" applyAlignment="1" applyProtection="1">
      <alignment horizontal="center" vertical="center"/>
      <protection/>
    </xf>
    <xf numFmtId="2" fontId="59" fillId="24" borderId="0" xfId="58" applyNumberFormat="1" applyFont="1" applyFill="1" applyBorder="1" applyAlignment="1" applyProtection="1">
      <alignment horizontal="center" vertical="center"/>
      <protection/>
    </xf>
    <xf numFmtId="176" fontId="51" fillId="0" borderId="0" xfId="58" applyNumberFormat="1" applyFont="1" applyFill="1" applyBorder="1" applyAlignment="1" applyProtection="1">
      <alignment horizontal="center" vertical="center"/>
      <protection/>
    </xf>
    <xf numFmtId="209" fontId="51" fillId="0" borderId="44" xfId="58" applyNumberFormat="1" applyFont="1" applyFill="1" applyBorder="1" applyAlignment="1" applyProtection="1">
      <alignment horizontal="center" vertical="center"/>
      <protection/>
    </xf>
    <xf numFmtId="209" fontId="51" fillId="24" borderId="15" xfId="58" applyNumberFormat="1" applyFont="1" applyFill="1" applyBorder="1" applyAlignment="1" applyProtection="1">
      <alignment horizontal="center" vertical="center"/>
      <protection/>
    </xf>
    <xf numFmtId="204" fontId="51" fillId="24" borderId="45" xfId="58" applyNumberFormat="1" applyFont="1" applyFill="1" applyBorder="1" applyAlignment="1" applyProtection="1">
      <alignment horizontal="center" vertical="center"/>
      <protection/>
    </xf>
    <xf numFmtId="204" fontId="51" fillId="24" borderId="64" xfId="58" applyNumberFormat="1" applyFont="1" applyFill="1" applyBorder="1" applyAlignment="1" applyProtection="1">
      <alignment horizontal="center" vertical="center"/>
      <protection/>
    </xf>
    <xf numFmtId="176" fontId="51" fillId="4" borderId="45" xfId="58" applyNumberFormat="1" applyFont="1" applyFill="1" applyBorder="1" applyAlignment="1" applyProtection="1">
      <alignment horizontal="center" vertical="center"/>
      <protection locked="0"/>
    </xf>
    <xf numFmtId="176" fontId="51" fillId="4" borderId="64" xfId="58" applyNumberFormat="1" applyFont="1" applyFill="1" applyBorder="1" applyAlignment="1" applyProtection="1">
      <alignment horizontal="center" vertical="center"/>
      <protection locked="0"/>
    </xf>
    <xf numFmtId="185" fontId="51" fillId="0" borderId="0" xfId="58" applyNumberFormat="1" applyFont="1" applyFill="1" applyBorder="1" applyAlignment="1" applyProtection="1">
      <alignment horizontal="left" vertical="center"/>
      <protection/>
    </xf>
    <xf numFmtId="14" fontId="51" fillId="0" borderId="0" xfId="58" applyNumberFormat="1" applyFont="1" applyFill="1" applyBorder="1" applyAlignment="1" applyProtection="1">
      <alignment horizontal="left" vertical="center"/>
      <protection/>
    </xf>
    <xf numFmtId="204" fontId="59" fillId="24" borderId="0" xfId="58" applyNumberFormat="1" applyFont="1" applyFill="1" applyBorder="1" applyAlignment="1" applyProtection="1">
      <alignment horizontal="center" vertical="center"/>
      <protection/>
    </xf>
    <xf numFmtId="205" fontId="51" fillId="24" borderId="46" xfId="58" applyNumberFormat="1" applyFont="1" applyFill="1" applyBorder="1" applyAlignment="1" applyProtection="1">
      <alignment horizontal="center" vertical="center"/>
      <protection/>
    </xf>
    <xf numFmtId="205" fontId="51" fillId="24" borderId="50" xfId="58" applyNumberFormat="1" applyFont="1" applyFill="1" applyBorder="1" applyAlignment="1" applyProtection="1">
      <alignment horizontal="center" vertical="center"/>
      <protection/>
    </xf>
    <xf numFmtId="1" fontId="60" fillId="24" borderId="0" xfId="58" applyNumberFormat="1" applyFont="1" applyFill="1" applyBorder="1" applyAlignment="1" applyProtection="1">
      <alignment horizontal="center" vertical="center"/>
      <protection/>
    </xf>
    <xf numFmtId="1" fontId="53" fillId="24" borderId="0" xfId="58" applyNumberFormat="1" applyFont="1" applyFill="1" applyBorder="1" applyAlignment="1" applyProtection="1">
      <alignment horizontal="center" vertical="center"/>
      <protection/>
    </xf>
    <xf numFmtId="0" fontId="52" fillId="0" borderId="0" xfId="58" applyFont="1" applyFill="1" applyBorder="1" applyAlignment="1" applyProtection="1">
      <alignment horizontal="right" vertical="center"/>
      <protection/>
    </xf>
    <xf numFmtId="0" fontId="52" fillId="0" borderId="40" xfId="58" applyFont="1" applyFill="1" applyBorder="1" applyAlignment="1" applyProtection="1">
      <alignment horizontal="right" vertical="center"/>
      <protection/>
    </xf>
    <xf numFmtId="0" fontId="52" fillId="0" borderId="57" xfId="58" applyFont="1" applyFill="1" applyBorder="1" applyAlignment="1" applyProtection="1">
      <alignment horizontal="right" vertical="center"/>
      <protection/>
    </xf>
    <xf numFmtId="0" fontId="50" fillId="0" borderId="0" xfId="58" applyFont="1" applyFill="1" applyBorder="1" applyAlignment="1" applyProtection="1">
      <alignment horizontal="center" vertical="center"/>
      <protection/>
    </xf>
    <xf numFmtId="0" fontId="58" fillId="0" borderId="65" xfId="58" applyFont="1" applyFill="1" applyBorder="1" applyAlignment="1" applyProtection="1">
      <alignment horizontal="center" vertical="center"/>
      <protection/>
    </xf>
    <xf numFmtId="176" fontId="51" fillId="24" borderId="65" xfId="58" applyNumberFormat="1" applyFont="1" applyFill="1" applyBorder="1" applyAlignment="1" applyProtection="1">
      <alignment horizontal="center" vertical="center"/>
      <protection locked="0"/>
    </xf>
    <xf numFmtId="185" fontId="51" fillId="4" borderId="26" xfId="58" applyNumberFormat="1" applyFont="1" applyFill="1" applyBorder="1" applyAlignment="1" applyProtection="1">
      <alignment horizontal="center" vertical="center"/>
      <protection locked="0"/>
    </xf>
    <xf numFmtId="0" fontId="51" fillId="4" borderId="26" xfId="58" applyNumberFormat="1" applyFont="1" applyFill="1" applyBorder="1" applyAlignment="1" applyProtection="1">
      <alignment horizontal="center" vertical="center"/>
      <protection locked="0"/>
    </xf>
    <xf numFmtId="0" fontId="59" fillId="24" borderId="10" xfId="58" applyFont="1" applyFill="1" applyBorder="1" applyAlignment="1" applyProtection="1">
      <alignment horizontal="center" vertical="center"/>
      <protection/>
    </xf>
    <xf numFmtId="49" fontId="28" fillId="0" borderId="65" xfId="58" applyNumberFormat="1" applyFont="1" applyFill="1" applyBorder="1" applyAlignment="1" applyProtection="1">
      <alignment horizontal="center" vertical="center"/>
      <protection/>
    </xf>
    <xf numFmtId="0" fontId="28" fillId="0" borderId="65" xfId="58" applyFont="1" applyFill="1" applyBorder="1" applyAlignment="1" applyProtection="1">
      <alignment horizontal="center" vertical="center"/>
      <protection/>
    </xf>
    <xf numFmtId="176" fontId="51" fillId="24" borderId="0" xfId="58" applyNumberFormat="1" applyFont="1" applyFill="1" applyBorder="1" applyAlignment="1" applyProtection="1">
      <alignment horizontal="center" vertical="center"/>
      <protection/>
    </xf>
    <xf numFmtId="176" fontId="51" fillId="24" borderId="43" xfId="58" applyNumberFormat="1" applyFont="1" applyFill="1" applyBorder="1" applyAlignment="1" applyProtection="1">
      <alignment horizontal="center" vertical="center"/>
      <protection/>
    </xf>
    <xf numFmtId="176" fontId="51" fillId="24" borderId="15" xfId="58" applyNumberFormat="1" applyFont="1" applyFill="1" applyBorder="1" applyAlignment="1" applyProtection="1">
      <alignment horizontal="center" vertical="center"/>
      <protection/>
    </xf>
    <xf numFmtId="176" fontId="51" fillId="24" borderId="10" xfId="58" applyNumberFormat="1" applyFont="1" applyFill="1" applyBorder="1" applyAlignment="1" applyProtection="1">
      <alignment horizontal="center" vertical="center"/>
      <protection/>
    </xf>
    <xf numFmtId="176" fontId="51" fillId="24" borderId="66" xfId="58" applyNumberFormat="1" applyFont="1" applyFill="1" applyBorder="1" applyAlignment="1" applyProtection="1">
      <alignment horizontal="center" vertical="center"/>
      <protection/>
    </xf>
    <xf numFmtId="49" fontId="28" fillId="0" borderId="67" xfId="58" applyNumberFormat="1" applyFont="1" applyFill="1" applyBorder="1" applyAlignment="1" applyProtection="1">
      <alignment horizontal="center" vertical="center"/>
      <protection/>
    </xf>
    <xf numFmtId="0" fontId="28" fillId="0" borderId="24" xfId="58" applyFont="1" applyFill="1" applyBorder="1" applyAlignment="1" applyProtection="1">
      <alignment horizontal="center" vertical="center"/>
      <protection/>
    </xf>
    <xf numFmtId="205" fontId="51" fillId="24" borderId="45" xfId="58" applyNumberFormat="1" applyFont="1" applyFill="1" applyBorder="1" applyAlignment="1" applyProtection="1">
      <alignment horizontal="center" vertical="center"/>
      <protection/>
    </xf>
    <xf numFmtId="205" fontId="51" fillId="24" borderId="64" xfId="58" applyNumberFormat="1" applyFont="1" applyFill="1" applyBorder="1" applyAlignment="1" applyProtection="1">
      <alignment horizontal="center" vertical="center"/>
      <protection/>
    </xf>
    <xf numFmtId="1" fontId="52" fillId="24" borderId="14" xfId="58" applyNumberFormat="1" applyFont="1" applyFill="1" applyBorder="1" applyAlignment="1" applyProtection="1">
      <alignment horizontal="center" vertical="center"/>
      <protection/>
    </xf>
    <xf numFmtId="0" fontId="51" fillId="24" borderId="33" xfId="58" applyFont="1" applyFill="1" applyBorder="1" applyAlignment="1" applyProtection="1">
      <alignment horizontal="right" vertical="center"/>
      <protection/>
    </xf>
    <xf numFmtId="176" fontId="53" fillId="24" borderId="14" xfId="58" applyNumberFormat="1" applyFont="1" applyFill="1" applyBorder="1" applyAlignment="1" applyProtection="1">
      <alignment horizontal="center" vertical="center" wrapText="1" shrinkToFit="1"/>
      <protection/>
    </xf>
    <xf numFmtId="174" fontId="51" fillId="0" borderId="14" xfId="58" applyNumberFormat="1" applyFont="1" applyFill="1" applyBorder="1" applyAlignment="1" applyProtection="1">
      <alignment horizontal="center" vertical="center"/>
      <protection/>
    </xf>
    <xf numFmtId="174" fontId="51" fillId="24" borderId="14" xfId="58" applyNumberFormat="1" applyFont="1" applyFill="1" applyBorder="1" applyAlignment="1" applyProtection="1">
      <alignment horizontal="center" vertical="center"/>
      <protection/>
    </xf>
    <xf numFmtId="174" fontId="51" fillId="24" borderId="25" xfId="58" applyNumberFormat="1" applyFont="1" applyFill="1" applyBorder="1" applyAlignment="1" applyProtection="1">
      <alignment horizontal="center" vertical="center"/>
      <protection/>
    </xf>
    <xf numFmtId="205" fontId="51" fillId="24" borderId="43" xfId="58" applyNumberFormat="1" applyFont="1" applyFill="1" applyBorder="1" applyAlignment="1" applyProtection="1">
      <alignment horizontal="center" vertical="center"/>
      <protection/>
    </xf>
    <xf numFmtId="14" fontId="53" fillId="24" borderId="0" xfId="58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>
      <alignment/>
    </xf>
    <xf numFmtId="175" fontId="52" fillId="24" borderId="14" xfId="58" applyNumberFormat="1" applyFont="1" applyFill="1" applyBorder="1" applyAlignment="1" applyProtection="1">
      <alignment horizontal="center" vertical="center"/>
      <protection/>
    </xf>
    <xf numFmtId="175" fontId="52" fillId="24" borderId="53" xfId="58" applyNumberFormat="1" applyFont="1" applyFill="1" applyBorder="1" applyAlignment="1" applyProtection="1">
      <alignment horizontal="center" vertical="center"/>
      <protection/>
    </xf>
    <xf numFmtId="0" fontId="28" fillId="0" borderId="68" xfId="58" applyFont="1" applyFill="1" applyBorder="1" applyAlignment="1" applyProtection="1">
      <alignment vertical="center"/>
      <protection/>
    </xf>
    <xf numFmtId="0" fontId="28" fillId="0" borderId="69" xfId="58" applyFont="1" applyFill="1" applyBorder="1" applyAlignment="1" applyProtection="1">
      <alignment vertical="center"/>
      <protection/>
    </xf>
    <xf numFmtId="0" fontId="28" fillId="0" borderId="0" xfId="58" applyFont="1" applyFill="1" applyBorder="1" applyAlignment="1" applyProtection="1">
      <alignment vertical="center"/>
      <protection/>
    </xf>
    <xf numFmtId="0" fontId="28" fillId="0" borderId="70" xfId="58" applyFont="1" applyFill="1" applyBorder="1" applyAlignment="1" applyProtection="1">
      <alignment vertical="center"/>
      <protection/>
    </xf>
    <xf numFmtId="0" fontId="28" fillId="0" borderId="55" xfId="58" applyFont="1" applyFill="1" applyBorder="1" applyAlignment="1" applyProtection="1">
      <alignment vertical="center"/>
      <protection/>
    </xf>
    <xf numFmtId="0" fontId="28" fillId="0" borderId="33" xfId="58" applyFont="1" applyFill="1" applyBorder="1" applyAlignment="1" applyProtection="1">
      <alignment vertical="center"/>
      <protection/>
    </xf>
    <xf numFmtId="0" fontId="28" fillId="0" borderId="33" xfId="58" applyFont="1" applyFill="1" applyBorder="1" applyAlignment="1" applyProtection="1">
      <alignment horizontal="center" vertical="center"/>
      <protection/>
    </xf>
    <xf numFmtId="0" fontId="29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28" fillId="0" borderId="57" xfId="58" applyFont="1" applyFill="1" applyBorder="1" applyAlignment="1" applyProtection="1">
      <alignment vertical="center"/>
      <protection/>
    </xf>
    <xf numFmtId="0" fontId="24" fillId="0" borderId="11" xfId="58" applyFont="1" applyFill="1" applyBorder="1" applyAlignment="1" applyProtection="1">
      <alignment vertical="center"/>
      <protection/>
    </xf>
    <xf numFmtId="0" fontId="28" fillId="0" borderId="58" xfId="58" applyFont="1" applyFill="1" applyBorder="1" applyAlignment="1" applyProtection="1">
      <alignment vertical="center"/>
      <protection/>
    </xf>
    <xf numFmtId="209" fontId="51" fillId="4" borderId="44" xfId="58" applyNumberFormat="1" applyFont="1" applyFill="1" applyBorder="1" applyAlignment="1" applyProtection="1">
      <alignment horizontal="center" vertical="center"/>
      <protection locked="0"/>
    </xf>
    <xf numFmtId="209" fontId="51" fillId="4" borderId="43" xfId="58" applyNumberFormat="1" applyFont="1" applyFill="1" applyBorder="1" applyAlignment="1" applyProtection="1">
      <alignment horizontal="center" vertical="center"/>
      <protection locked="0"/>
    </xf>
    <xf numFmtId="14" fontId="51" fillId="4" borderId="14" xfId="58" applyNumberFormat="1" applyFont="1" applyFill="1" applyBorder="1" applyAlignment="1" applyProtection="1">
      <alignment horizontal="center" vertical="center"/>
      <protection locked="0"/>
    </xf>
    <xf numFmtId="0" fontId="44" fillId="24" borderId="0" xfId="0" applyFont="1" applyFill="1" applyBorder="1" applyAlignment="1" applyProtection="1">
      <alignment horizontal="center" vertical="center"/>
      <protection/>
    </xf>
    <xf numFmtId="0" fontId="37" fillId="24" borderId="0" xfId="0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" fontId="35" fillId="24" borderId="0" xfId="0" applyNumberFormat="1" applyFont="1" applyFill="1" applyBorder="1" applyAlignment="1" applyProtection="1">
      <alignment horizontal="center" vertical="center"/>
      <protection/>
    </xf>
    <xf numFmtId="0" fontId="35" fillId="24" borderId="0" xfId="0" applyNumberFormat="1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 applyProtection="1">
      <alignment horizontal="center"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0" fontId="49" fillId="25" borderId="71" xfId="0" applyFont="1" applyFill="1" applyBorder="1" applyAlignment="1" applyProtection="1">
      <alignment horizontal="center" vertical="center"/>
      <protection/>
    </xf>
    <xf numFmtId="0" fontId="37" fillId="25" borderId="72" xfId="0" applyFont="1" applyFill="1" applyBorder="1" applyAlignment="1" applyProtection="1">
      <alignment horizontal="center" vertical="center"/>
      <protection/>
    </xf>
    <xf numFmtId="0" fontId="37" fillId="25" borderId="72" xfId="0" applyNumberFormat="1" applyFont="1" applyFill="1" applyBorder="1" applyAlignment="1" applyProtection="1">
      <alignment horizontal="center" vertical="center"/>
      <protection/>
    </xf>
    <xf numFmtId="0" fontId="36" fillId="25" borderId="7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37" fillId="25" borderId="51" xfId="0" applyFont="1" applyFill="1" applyBorder="1" applyAlignment="1" applyProtection="1">
      <alignment horizontal="center" vertical="center"/>
      <protection/>
    </xf>
    <xf numFmtId="0" fontId="37" fillId="25" borderId="5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5" borderId="25" xfId="0" applyFont="1" applyFill="1" applyBorder="1" applyAlignment="1" applyProtection="1">
      <alignment horizontal="center" vertical="center"/>
      <protection/>
    </xf>
    <xf numFmtId="0" fontId="49" fillId="24" borderId="0" xfId="0" applyFont="1" applyFill="1" applyBorder="1" applyAlignment="1" applyProtection="1">
      <alignment horizontal="center"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41" fillId="24" borderId="0" xfId="0" applyNumberFormat="1" applyFont="1" applyFill="1" applyBorder="1" applyAlignment="1" applyProtection="1">
      <alignment horizontal="center" vertical="center"/>
      <protection/>
    </xf>
    <xf numFmtId="0" fontId="45" fillId="24" borderId="0" xfId="58" applyFont="1" applyFill="1" applyBorder="1" applyAlignment="1" applyProtection="1">
      <alignment horizontal="center" vertical="center"/>
      <protection/>
    </xf>
    <xf numFmtId="0" fontId="52" fillId="24" borderId="0" xfId="59" applyNumberFormat="1" applyFont="1" applyFill="1" applyBorder="1" applyAlignment="1">
      <alignment horizontal="left"/>
      <protection/>
    </xf>
    <xf numFmtId="0" fontId="52" fillId="24" borderId="0" xfId="59" applyNumberFormat="1" applyFont="1" applyFill="1" applyBorder="1" applyAlignment="1">
      <alignment horizontal="right"/>
      <protection/>
    </xf>
    <xf numFmtId="0" fontId="58" fillId="24" borderId="40" xfId="59" applyNumberFormat="1" applyFont="1" applyFill="1" applyBorder="1" applyAlignment="1">
      <alignment horizontal="center"/>
      <protection/>
    </xf>
    <xf numFmtId="0" fontId="58" fillId="24" borderId="54" xfId="59" applyNumberFormat="1" applyFont="1" applyFill="1" applyBorder="1" applyAlignment="1">
      <alignment horizontal="center"/>
      <protection/>
    </xf>
    <xf numFmtId="0" fontId="58" fillId="24" borderId="14" xfId="59" applyNumberFormat="1" applyFont="1" applyFill="1" applyBorder="1" applyAlignment="1">
      <alignment horizontal="center"/>
      <protection/>
    </xf>
    <xf numFmtId="0" fontId="52" fillId="24" borderId="51" xfId="59" applyNumberFormat="1" applyFont="1" applyFill="1" applyBorder="1" applyAlignment="1">
      <alignment horizontal="center"/>
      <protection/>
    </xf>
    <xf numFmtId="192" fontId="52" fillId="24" borderId="51" xfId="59" applyNumberFormat="1" applyFont="1" applyFill="1" applyBorder="1" applyAlignment="1">
      <alignment horizontal="center"/>
      <protection/>
    </xf>
    <xf numFmtId="0" fontId="52" fillId="24" borderId="0" xfId="59" applyNumberFormat="1" applyFont="1" applyFill="1" applyBorder="1" applyAlignment="1">
      <alignment horizontal="center"/>
      <protection/>
    </xf>
    <xf numFmtId="0" fontId="52" fillId="24" borderId="52" xfId="59" applyNumberFormat="1" applyFont="1" applyFill="1" applyBorder="1" applyAlignment="1">
      <alignment horizontal="center"/>
      <protection/>
    </xf>
    <xf numFmtId="192" fontId="52" fillId="24" borderId="52" xfId="59" applyNumberFormat="1" applyFont="1" applyFill="1" applyBorder="1" applyAlignment="1">
      <alignment horizontal="center"/>
      <protection/>
    </xf>
    <xf numFmtId="0" fontId="52" fillId="24" borderId="74" xfId="59" applyNumberFormat="1" applyFont="1" applyFill="1" applyBorder="1" applyAlignment="1">
      <alignment horizontal="center"/>
      <protection/>
    </xf>
    <xf numFmtId="192" fontId="52" fillId="24" borderId="74" xfId="59" applyNumberFormat="1" applyFont="1" applyFill="1" applyBorder="1" applyAlignment="1">
      <alignment horizontal="center"/>
      <protection/>
    </xf>
    <xf numFmtId="0" fontId="52" fillId="24" borderId="14" xfId="59" applyNumberFormat="1" applyFont="1" applyFill="1" applyBorder="1" applyAlignment="1">
      <alignment horizontal="center"/>
      <protection/>
    </xf>
    <xf numFmtId="0" fontId="52" fillId="24" borderId="54" xfId="59" applyNumberFormat="1" applyFont="1" applyFill="1" applyBorder="1" applyAlignment="1">
      <alignment horizontal="center"/>
      <protection/>
    </xf>
    <xf numFmtId="175" fontId="43" fillId="24" borderId="14" xfId="59" applyNumberFormat="1" applyFont="1" applyFill="1" applyBorder="1" applyAlignment="1">
      <alignment horizontal="center"/>
      <protection/>
    </xf>
    <xf numFmtId="175" fontId="43" fillId="24" borderId="54" xfId="59" applyNumberFormat="1" applyFont="1" applyFill="1" applyBorder="1" applyAlignment="1">
      <alignment horizontal="center"/>
      <protection/>
    </xf>
    <xf numFmtId="175" fontId="52" fillId="24" borderId="25" xfId="59" applyNumberFormat="1" applyFont="1" applyFill="1" applyBorder="1" applyAlignment="1">
      <alignment horizontal="center"/>
      <protection/>
    </xf>
    <xf numFmtId="175" fontId="52" fillId="24" borderId="58" xfId="59" applyNumberFormat="1" applyFont="1" applyFill="1" applyBorder="1" applyAlignment="1">
      <alignment horizontal="center"/>
      <protection/>
    </xf>
    <xf numFmtId="0" fontId="66" fillId="24" borderId="0" xfId="59" applyNumberFormat="1" applyFont="1" applyFill="1" applyBorder="1" applyAlignment="1">
      <alignment horizontal="right"/>
      <protection/>
    </xf>
    <xf numFmtId="0" fontId="66" fillId="24" borderId="0" xfId="59" applyNumberFormat="1" applyFont="1" applyFill="1" applyBorder="1" applyAlignment="1">
      <alignment horizontal="left"/>
      <protection/>
    </xf>
    <xf numFmtId="0" fontId="52" fillId="24" borderId="71" xfId="59" applyNumberFormat="1" applyFont="1" applyFill="1" applyBorder="1" applyAlignment="1">
      <alignment horizontal="right"/>
      <protection/>
    </xf>
    <xf numFmtId="0" fontId="52" fillId="24" borderId="36" xfId="59" applyNumberFormat="1" applyFont="1" applyFill="1" applyBorder="1" applyAlignment="1">
      <alignment horizontal="right"/>
      <protection/>
    </xf>
    <xf numFmtId="0" fontId="52" fillId="24" borderId="25" xfId="59" applyNumberFormat="1" applyFont="1" applyFill="1" applyBorder="1" applyAlignment="1">
      <alignment horizontal="center"/>
      <protection/>
    </xf>
    <xf numFmtId="192" fontId="52" fillId="24" borderId="25" xfId="59" applyNumberFormat="1" applyFont="1" applyFill="1" applyBorder="1" applyAlignment="1">
      <alignment horizontal="center"/>
      <protection/>
    </xf>
    <xf numFmtId="0" fontId="52" fillId="24" borderId="75" xfId="59" applyNumberFormat="1" applyFont="1" applyFill="1" applyBorder="1" applyAlignment="1">
      <alignment horizontal="right"/>
      <protection/>
    </xf>
    <xf numFmtId="14" fontId="52" fillId="24" borderId="0" xfId="59" applyNumberFormat="1" applyFont="1" applyFill="1" applyBorder="1" applyAlignment="1">
      <alignment horizontal="center"/>
      <protection/>
    </xf>
    <xf numFmtId="1" fontId="52" fillId="24" borderId="0" xfId="63" applyNumberFormat="1" applyFont="1" applyFill="1" applyBorder="1" applyAlignment="1">
      <alignment horizontal="center"/>
    </xf>
    <xf numFmtId="2" fontId="52" fillId="24" borderId="0" xfId="63" applyNumberFormat="1" applyFont="1" applyFill="1" applyBorder="1" applyAlignment="1">
      <alignment horizontal="center"/>
    </xf>
    <xf numFmtId="205" fontId="52" fillId="0" borderId="14" xfId="58" applyNumberFormat="1" applyFont="1" applyFill="1" applyBorder="1" applyAlignment="1" applyProtection="1">
      <alignment horizontal="center" vertical="center"/>
      <protection/>
    </xf>
    <xf numFmtId="205" fontId="52" fillId="0" borderId="53" xfId="58" applyNumberFormat="1" applyFont="1" applyFill="1" applyBorder="1" applyAlignment="1" applyProtection="1">
      <alignment horizontal="center" vertical="center"/>
      <protection/>
    </xf>
    <xf numFmtId="0" fontId="52" fillId="4" borderId="0" xfId="59" applyNumberFormat="1" applyFont="1" applyFill="1" applyBorder="1" applyAlignment="1" applyProtection="1">
      <alignment horizontal="center"/>
      <protection locked="0"/>
    </xf>
    <xf numFmtId="0" fontId="52" fillId="4" borderId="76" xfId="59" applyNumberFormat="1" applyFont="1" applyFill="1" applyBorder="1" applyAlignment="1" applyProtection="1">
      <alignment horizontal="center"/>
      <protection locked="0"/>
    </xf>
    <xf numFmtId="0" fontId="52" fillId="4" borderId="52" xfId="59" applyNumberFormat="1" applyFont="1" applyFill="1" applyBorder="1" applyAlignment="1" applyProtection="1">
      <alignment horizontal="center"/>
      <protection locked="0"/>
    </xf>
    <xf numFmtId="0" fontId="52" fillId="4" borderId="10" xfId="59" applyNumberFormat="1" applyFont="1" applyFill="1" applyBorder="1" applyAlignment="1" applyProtection="1">
      <alignment horizontal="center"/>
      <protection locked="0"/>
    </xf>
    <xf numFmtId="0" fontId="52" fillId="4" borderId="74" xfId="59" applyNumberFormat="1" applyFont="1" applyFill="1" applyBorder="1" applyAlignment="1" applyProtection="1">
      <alignment horizontal="center"/>
      <protection locked="0"/>
    </xf>
    <xf numFmtId="0" fontId="52" fillId="4" borderId="42" xfId="59" applyNumberFormat="1" applyFont="1" applyFill="1" applyBorder="1" applyAlignment="1" applyProtection="1">
      <alignment horizontal="center"/>
      <protection locked="0"/>
    </xf>
    <xf numFmtId="0" fontId="52" fillId="4" borderId="11" xfId="59" applyNumberFormat="1" applyFont="1" applyFill="1" applyBorder="1" applyAlignment="1" applyProtection="1">
      <alignment horizontal="center"/>
      <protection locked="0"/>
    </xf>
    <xf numFmtId="0" fontId="52" fillId="4" borderId="25" xfId="59" applyNumberFormat="1" applyFont="1" applyFill="1" applyBorder="1" applyAlignment="1" applyProtection="1">
      <alignment horizontal="center"/>
      <protection locked="0"/>
    </xf>
    <xf numFmtId="0" fontId="52" fillId="4" borderId="77" xfId="59" applyNumberFormat="1" applyFont="1" applyFill="1" applyBorder="1" applyAlignment="1" applyProtection="1">
      <alignment horizontal="center"/>
      <protection locked="0"/>
    </xf>
    <xf numFmtId="0" fontId="52" fillId="4" borderId="78" xfId="59" applyNumberFormat="1" applyFont="1" applyFill="1" applyBorder="1" applyAlignment="1" applyProtection="1">
      <alignment horizontal="center"/>
      <protection locked="0"/>
    </xf>
    <xf numFmtId="0" fontId="52" fillId="4" borderId="79" xfId="59" applyNumberFormat="1" applyFont="1" applyFill="1" applyBorder="1" applyAlignment="1" applyProtection="1">
      <alignment horizontal="center"/>
      <protection locked="0"/>
    </xf>
    <xf numFmtId="0" fontId="52" fillId="4" borderId="14" xfId="59" applyNumberFormat="1" applyFont="1" applyFill="1" applyBorder="1" applyAlignment="1" applyProtection="1">
      <alignment horizontal="center"/>
      <protection locked="0"/>
    </xf>
    <xf numFmtId="209" fontId="51" fillId="24" borderId="50" xfId="58" applyNumberFormat="1" applyFont="1" applyFill="1" applyBorder="1" applyAlignment="1" applyProtection="1">
      <alignment horizontal="center" vertical="center"/>
      <protection/>
    </xf>
    <xf numFmtId="0" fontId="35" fillId="24" borderId="0" xfId="0" applyFont="1" applyFill="1" applyBorder="1" applyAlignment="1" applyProtection="1">
      <alignment horizontal="center" vertical="center"/>
      <protection hidden="1"/>
    </xf>
    <xf numFmtId="0" fontId="64" fillId="0" borderId="40" xfId="54" applyFont="1" applyFill="1" applyBorder="1" applyAlignment="1" applyProtection="1">
      <alignment horizontal="center" vertical="center"/>
      <protection locked="0"/>
    </xf>
    <xf numFmtId="0" fontId="64" fillId="0" borderId="53" xfId="54" applyFont="1" applyFill="1" applyBorder="1" applyAlignment="1" applyProtection="1">
      <alignment horizontal="center" vertical="center"/>
      <protection locked="0"/>
    </xf>
    <xf numFmtId="2" fontId="28" fillId="0" borderId="0" xfId="44" applyNumberFormat="1" applyFont="1" applyFill="1" applyBorder="1" applyAlignment="1" applyProtection="1">
      <alignment horizontal="center" vertical="center"/>
      <protection/>
    </xf>
    <xf numFmtId="2" fontId="28" fillId="0" borderId="80" xfId="44" applyNumberFormat="1" applyFont="1" applyFill="1" applyBorder="1" applyAlignment="1" applyProtection="1">
      <alignment horizontal="center" vertical="center"/>
      <protection/>
    </xf>
    <xf numFmtId="0" fontId="68" fillId="0" borderId="0" xfId="54" applyFont="1" applyFill="1" applyBorder="1" applyAlignment="1" applyProtection="1">
      <alignment horizontal="left"/>
      <protection locked="0"/>
    </xf>
    <xf numFmtId="0" fontId="37" fillId="26" borderId="40" xfId="54" applyFont="1" applyFill="1" applyBorder="1" applyAlignment="1" applyProtection="1">
      <alignment horizontal="center" vertical="center" wrapText="1"/>
      <protection locked="0"/>
    </xf>
    <xf numFmtId="0" fontId="37" fillId="26" borderId="53" xfId="54" applyFont="1" applyFill="1" applyBorder="1" applyAlignment="1" applyProtection="1">
      <alignment horizontal="center" vertical="center" wrapText="1"/>
      <protection locked="0"/>
    </xf>
    <xf numFmtId="0" fontId="37" fillId="26" borderId="54" xfId="54" applyFont="1" applyFill="1" applyBorder="1" applyAlignment="1" applyProtection="1">
      <alignment horizontal="center" vertical="center" wrapText="1"/>
      <protection locked="0"/>
    </xf>
    <xf numFmtId="0" fontId="28" fillId="0" borderId="81" xfId="58" applyFont="1" applyFill="1" applyBorder="1" applyAlignment="1" applyProtection="1">
      <alignment horizontal="center" vertical="center"/>
      <protection/>
    </xf>
    <xf numFmtId="0" fontId="28" fillId="0" borderId="42" xfId="58" applyFont="1" applyFill="1" applyBorder="1" applyAlignment="1" applyProtection="1">
      <alignment horizontal="center" vertical="center"/>
      <protection/>
    </xf>
    <xf numFmtId="0" fontId="28" fillId="0" borderId="41" xfId="58" applyFont="1" applyFill="1" applyBorder="1" applyAlignment="1" applyProtection="1">
      <alignment horizontal="center" vertical="center"/>
      <protection/>
    </xf>
    <xf numFmtId="0" fontId="36" fillId="26" borderId="55" xfId="58" applyFont="1" applyFill="1" applyBorder="1" applyAlignment="1" applyProtection="1">
      <alignment horizontal="center" vertical="center" wrapText="1"/>
      <protection/>
    </xf>
    <xf numFmtId="0" fontId="36" fillId="26" borderId="33" xfId="58" applyFont="1" applyFill="1" applyBorder="1" applyAlignment="1" applyProtection="1">
      <alignment horizontal="center" vertical="center" wrapText="1"/>
      <protection/>
    </xf>
    <xf numFmtId="0" fontId="36" fillId="26" borderId="56" xfId="58" applyFont="1" applyFill="1" applyBorder="1" applyAlignment="1" applyProtection="1">
      <alignment horizontal="center" vertical="center" wrapText="1"/>
      <protection/>
    </xf>
    <xf numFmtId="0" fontId="48" fillId="26" borderId="13" xfId="54" applyFont="1" applyFill="1" applyBorder="1" applyAlignment="1" applyProtection="1">
      <alignment horizontal="center" vertical="center" wrapText="1"/>
      <protection locked="0"/>
    </xf>
    <xf numFmtId="0" fontId="48" fillId="26" borderId="0" xfId="58" applyFont="1" applyFill="1" applyBorder="1" applyAlignment="1" applyProtection="1">
      <alignment horizontal="center" vertical="center" wrapText="1"/>
      <protection locked="0"/>
    </xf>
    <xf numFmtId="0" fontId="48" fillId="26" borderId="16" xfId="58" applyFont="1" applyFill="1" applyBorder="1" applyAlignment="1" applyProtection="1">
      <alignment horizontal="center" vertical="center" wrapText="1"/>
      <protection locked="0"/>
    </xf>
    <xf numFmtId="0" fontId="25" fillId="26" borderId="40" xfId="58" applyFont="1" applyFill="1" applyBorder="1" applyAlignment="1" applyProtection="1">
      <alignment horizontal="center" vertical="center"/>
      <protection/>
    </xf>
    <xf numFmtId="0" fontId="25" fillId="26" borderId="53" xfId="58" applyFont="1" applyFill="1" applyBorder="1" applyAlignment="1" applyProtection="1">
      <alignment horizontal="center" vertical="center"/>
      <protection/>
    </xf>
    <xf numFmtId="0" fontId="25" fillId="26" borderId="53" xfId="0" applyFont="1" applyFill="1" applyBorder="1" applyAlignment="1" applyProtection="1">
      <alignment vertical="center"/>
      <protection/>
    </xf>
    <xf numFmtId="0" fontId="25" fillId="26" borderId="54" xfId="0" applyFont="1" applyFill="1" applyBorder="1" applyAlignment="1" applyProtection="1">
      <alignment vertical="center"/>
      <protection/>
    </xf>
    <xf numFmtId="0" fontId="52" fillId="0" borderId="0" xfId="58" applyFont="1" applyFill="1" applyBorder="1" applyAlignment="1" applyProtection="1">
      <alignment horizontal="right" vertical="center"/>
      <protection/>
    </xf>
    <xf numFmtId="0" fontId="64" fillId="0" borderId="67" xfId="54" applyFont="1" applyFill="1" applyBorder="1" applyAlignment="1" applyProtection="1">
      <alignment horizontal="center" vertical="center"/>
      <protection locked="0"/>
    </xf>
    <xf numFmtId="0" fontId="64" fillId="0" borderId="65" xfId="54" applyFont="1" applyFill="1" applyBorder="1" applyAlignment="1" applyProtection="1">
      <alignment horizontal="center" vertical="center"/>
      <protection locked="0"/>
    </xf>
    <xf numFmtId="0" fontId="64" fillId="0" borderId="24" xfId="54" applyFont="1" applyFill="1" applyBorder="1" applyAlignment="1" applyProtection="1">
      <alignment horizontal="center" vertical="center"/>
      <protection locked="0"/>
    </xf>
    <xf numFmtId="0" fontId="64" fillId="0" borderId="54" xfId="54" applyFont="1" applyFill="1" applyBorder="1" applyAlignment="1" applyProtection="1">
      <alignment horizontal="center" vertical="center"/>
      <protection locked="0"/>
    </xf>
    <xf numFmtId="0" fontId="58" fillId="24" borderId="40" xfId="59" applyNumberFormat="1" applyFont="1" applyFill="1" applyBorder="1" applyAlignment="1">
      <alignment horizontal="center" vertical="center"/>
      <protection/>
    </xf>
    <xf numFmtId="0" fontId="58" fillId="24" borderId="53" xfId="59" applyNumberFormat="1" applyFont="1" applyFill="1" applyBorder="1" applyAlignment="1">
      <alignment horizontal="center" vertical="center"/>
      <protection/>
    </xf>
    <xf numFmtId="0" fontId="58" fillId="24" borderId="54" xfId="59" applyNumberFormat="1" applyFont="1" applyFill="1" applyBorder="1" applyAlignment="1">
      <alignment horizontal="center" vertical="center"/>
      <protection/>
    </xf>
    <xf numFmtId="0" fontId="58" fillId="4" borderId="55" xfId="59" applyNumberFormat="1" applyFont="1" applyFill="1" applyBorder="1" applyAlignment="1" applyProtection="1">
      <alignment horizontal="center" vertical="center" wrapText="1"/>
      <protection locked="0"/>
    </xf>
    <xf numFmtId="0" fontId="58" fillId="4" borderId="57" xfId="59" applyNumberFormat="1" applyFont="1" applyFill="1" applyBorder="1" applyAlignment="1" applyProtection="1">
      <alignment horizontal="center" vertical="center" wrapText="1"/>
      <protection locked="0"/>
    </xf>
    <xf numFmtId="0" fontId="58" fillId="4" borderId="51" xfId="59" applyNumberFormat="1" applyFont="1" applyFill="1" applyBorder="1" applyAlignment="1" applyProtection="1">
      <alignment horizontal="center" vertical="center" wrapText="1"/>
      <protection locked="0"/>
    </xf>
    <xf numFmtId="0" fontId="58" fillId="4" borderId="25" xfId="59" applyNumberFormat="1" applyFont="1" applyFill="1" applyBorder="1" applyAlignment="1" applyProtection="1">
      <alignment horizontal="center" vertical="center" wrapText="1"/>
      <protection locked="0"/>
    </xf>
    <xf numFmtId="0" fontId="58" fillId="24" borderId="40" xfId="59" applyNumberFormat="1" applyFont="1" applyFill="1" applyBorder="1" applyAlignment="1">
      <alignment horizontal="center"/>
      <protection/>
    </xf>
    <xf numFmtId="0" fontId="58" fillId="24" borderId="54" xfId="59" applyNumberFormat="1" applyFont="1" applyFill="1" applyBorder="1" applyAlignment="1">
      <alignment horizontal="center"/>
      <protection/>
    </xf>
    <xf numFmtId="0" fontId="58" fillId="24" borderId="51" xfId="59" applyNumberFormat="1" applyFont="1" applyFill="1" applyBorder="1" applyAlignment="1">
      <alignment horizontal="center" vertical="center" wrapText="1"/>
      <protection/>
    </xf>
    <xf numFmtId="0" fontId="58" fillId="24" borderId="25" xfId="59" applyNumberFormat="1" applyFont="1" applyFill="1" applyBorder="1" applyAlignment="1">
      <alignment horizontal="center" vertical="center" wrapText="1"/>
      <protection/>
    </xf>
    <xf numFmtId="0" fontId="52" fillId="4" borderId="13" xfId="59" applyNumberFormat="1" applyFont="1" applyFill="1" applyBorder="1" applyAlignment="1" applyProtection="1">
      <alignment horizontal="center"/>
      <protection locked="0"/>
    </xf>
    <xf numFmtId="0" fontId="52" fillId="4" borderId="16" xfId="59" applyNumberFormat="1" applyFont="1" applyFill="1" applyBorder="1" applyAlignment="1" applyProtection="1">
      <alignment horizontal="center"/>
      <protection locked="0"/>
    </xf>
    <xf numFmtId="0" fontId="52" fillId="4" borderId="57" xfId="59" applyNumberFormat="1" applyFont="1" applyFill="1" applyBorder="1" applyAlignment="1" applyProtection="1">
      <alignment horizontal="center"/>
      <protection locked="0"/>
    </xf>
    <xf numFmtId="0" fontId="52" fillId="4" borderId="58" xfId="59" applyNumberFormat="1" applyFont="1" applyFill="1" applyBorder="1" applyAlignment="1" applyProtection="1">
      <alignment horizontal="center"/>
      <protection locked="0"/>
    </xf>
    <xf numFmtId="192" fontId="64" fillId="24" borderId="0" xfId="59" applyNumberFormat="1" applyFont="1" applyFill="1" applyBorder="1" applyAlignment="1">
      <alignment horizontal="center" vertical="center"/>
      <protection/>
    </xf>
    <xf numFmtId="0" fontId="49" fillId="24" borderId="0" xfId="59" applyNumberFormat="1" applyFont="1" applyFill="1" applyBorder="1" applyAlignment="1">
      <alignment horizontal="left" vertical="center" readingOrder="1"/>
      <protection/>
    </xf>
    <xf numFmtId="0" fontId="58" fillId="24" borderId="55" xfId="59" applyNumberFormat="1" applyFont="1" applyFill="1" applyBorder="1" applyAlignment="1">
      <alignment horizontal="center" vertical="center"/>
      <protection/>
    </xf>
    <xf numFmtId="0" fontId="58" fillId="24" borderId="56" xfId="59" applyNumberFormat="1" applyFont="1" applyFill="1" applyBorder="1" applyAlignment="1">
      <alignment horizontal="center" vertical="center"/>
      <protection/>
    </xf>
    <xf numFmtId="0" fontId="52" fillId="4" borderId="55" xfId="59" applyNumberFormat="1" applyFont="1" applyFill="1" applyBorder="1" applyAlignment="1" applyProtection="1">
      <alignment horizontal="center"/>
      <protection locked="0"/>
    </xf>
    <xf numFmtId="0" fontId="52" fillId="4" borderId="56" xfId="59" applyNumberFormat="1" applyFont="1" applyFill="1" applyBorder="1" applyAlignment="1" applyProtection="1">
      <alignment horizontal="center"/>
      <protection locked="0"/>
    </xf>
    <xf numFmtId="0" fontId="67" fillId="24" borderId="55" xfId="59" applyNumberFormat="1" applyFont="1" applyFill="1" applyBorder="1" applyAlignment="1">
      <alignment horizontal="center" vertical="center"/>
      <protection/>
    </xf>
    <xf numFmtId="0" fontId="67" fillId="24" borderId="33" xfId="59" applyNumberFormat="1" applyFont="1" applyFill="1" applyBorder="1" applyAlignment="1">
      <alignment horizontal="center" vertical="center"/>
      <protection/>
    </xf>
    <xf numFmtId="0" fontId="67" fillId="24" borderId="56" xfId="59" applyNumberFormat="1" applyFont="1" applyFill="1" applyBorder="1" applyAlignment="1">
      <alignment horizontal="center" vertical="center"/>
      <protection/>
    </xf>
    <xf numFmtId="0" fontId="67" fillId="24" borderId="57" xfId="59" applyNumberFormat="1" applyFont="1" applyFill="1" applyBorder="1" applyAlignment="1">
      <alignment horizontal="center" vertical="center"/>
      <protection/>
    </xf>
    <xf numFmtId="0" fontId="67" fillId="24" borderId="11" xfId="59" applyNumberFormat="1" applyFont="1" applyFill="1" applyBorder="1" applyAlignment="1">
      <alignment horizontal="center" vertical="center"/>
      <protection/>
    </xf>
    <xf numFmtId="0" fontId="67" fillId="24" borderId="58" xfId="59" applyNumberFormat="1" applyFont="1" applyFill="1" applyBorder="1" applyAlignment="1">
      <alignment horizontal="center" vertical="center"/>
      <protection/>
    </xf>
    <xf numFmtId="1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shrinkToFit="1"/>
      <protection hidden="1"/>
    </xf>
    <xf numFmtId="0" fontId="0" fillId="24" borderId="0" xfId="0" applyFont="1" applyFill="1" applyAlignment="1" applyProtection="1">
      <alignment horizontal="center" shrinkToFit="1"/>
      <protection hidden="1"/>
    </xf>
    <xf numFmtId="176" fontId="17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24" borderId="42" xfId="0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176" fontId="0" fillId="24" borderId="42" xfId="0" applyNumberFormat="1" applyFont="1" applyFill="1" applyBorder="1" applyAlignment="1" applyProtection="1">
      <alignment horizontal="center" vertical="center"/>
      <protection hidden="1"/>
    </xf>
    <xf numFmtId="176" fontId="0" fillId="24" borderId="10" xfId="0" applyNumberFormat="1" applyFont="1" applyFill="1" applyBorder="1" applyAlignment="1" applyProtection="1">
      <alignment horizontal="center" vertical="center"/>
      <protection hidden="1"/>
    </xf>
    <xf numFmtId="176" fontId="0" fillId="2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hidden="1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0" fontId="25" fillId="25" borderId="0" xfId="54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 applyProtection="1">
      <alignment horizontal="center" vertical="center"/>
      <protection locked="0"/>
    </xf>
    <xf numFmtId="0" fontId="36" fillId="25" borderId="40" xfId="54" applyFont="1" applyFill="1" applyBorder="1" applyAlignment="1" applyProtection="1">
      <alignment horizontal="center" vertical="center"/>
      <protection locked="0"/>
    </xf>
    <xf numFmtId="0" fontId="36" fillId="25" borderId="53" xfId="54" applyFont="1" applyFill="1" applyBorder="1" applyAlignment="1" applyProtection="1">
      <alignment horizontal="center" vertical="center"/>
      <protection locked="0"/>
    </xf>
    <xf numFmtId="0" fontId="36" fillId="25" borderId="54" xfId="54" applyFont="1" applyFill="1" applyBorder="1" applyAlignment="1" applyProtection="1">
      <alignment horizontal="center" vertical="center"/>
      <protection locked="0"/>
    </xf>
    <xf numFmtId="0" fontId="29" fillId="25" borderId="67" xfId="0" applyFont="1" applyFill="1" applyBorder="1" applyAlignment="1" applyProtection="1">
      <alignment horizontal="center" vertical="center"/>
      <protection/>
    </xf>
    <xf numFmtId="0" fontId="29" fillId="25" borderId="65" xfId="0" applyFont="1" applyFill="1" applyBorder="1" applyAlignment="1" applyProtection="1">
      <alignment horizontal="center" vertical="center"/>
      <protection/>
    </xf>
    <xf numFmtId="0" fontId="29" fillId="25" borderId="24" xfId="0" applyFont="1" applyFill="1" applyBorder="1" applyAlignment="1" applyProtection="1">
      <alignment horizontal="center" vertical="center"/>
      <protection/>
    </xf>
    <xf numFmtId="0" fontId="36" fillId="25" borderId="77" xfId="54" applyFont="1" applyFill="1" applyBorder="1" applyAlignment="1" applyProtection="1">
      <alignment horizontal="center" vertical="center" textRotation="90"/>
      <protection locked="0"/>
    </xf>
    <xf numFmtId="0" fontId="36" fillId="25" borderId="78" xfId="54" applyFont="1" applyFill="1" applyBorder="1" applyAlignment="1" applyProtection="1">
      <alignment horizontal="center" vertical="center" textRotation="90"/>
      <protection locked="0"/>
    </xf>
    <xf numFmtId="0" fontId="36" fillId="25" borderId="79" xfId="54" applyFont="1" applyFill="1" applyBorder="1" applyAlignment="1" applyProtection="1">
      <alignment horizontal="center" vertical="center" textRotation="90"/>
      <protection locked="0"/>
    </xf>
    <xf numFmtId="0" fontId="36" fillId="25" borderId="51" xfId="54" applyFont="1" applyFill="1" applyBorder="1" applyAlignment="1" applyProtection="1">
      <alignment horizontal="left" vertical="center" textRotation="90"/>
      <protection locked="0"/>
    </xf>
    <xf numFmtId="0" fontId="36" fillId="25" borderId="52" xfId="54" applyFont="1" applyFill="1" applyBorder="1" applyAlignment="1" applyProtection="1">
      <alignment horizontal="left" vertical="center" textRotation="90"/>
      <protection locked="0"/>
    </xf>
    <xf numFmtId="0" fontId="36" fillId="25" borderId="25" xfId="54" applyFont="1" applyFill="1" applyBorder="1" applyAlignment="1" applyProtection="1">
      <alignment horizontal="left" vertical="center" textRotation="90"/>
      <protection locked="0"/>
    </xf>
    <xf numFmtId="0" fontId="37" fillId="25" borderId="40" xfId="54" applyFont="1" applyFill="1" applyBorder="1" applyAlignment="1" applyProtection="1">
      <alignment horizontal="center" vertical="center"/>
      <protection locked="0"/>
    </xf>
    <xf numFmtId="0" fontId="37" fillId="25" borderId="53" xfId="54" applyFont="1" applyFill="1" applyBorder="1" applyAlignment="1" applyProtection="1">
      <alignment horizontal="center" vertical="center"/>
      <protection locked="0"/>
    </xf>
    <xf numFmtId="0" fontId="37" fillId="25" borderId="54" xfId="54" applyFont="1" applyFill="1" applyBorder="1" applyAlignment="1" applyProtection="1">
      <alignment horizontal="center" vertical="center"/>
      <protection locked="0"/>
    </xf>
    <xf numFmtId="0" fontId="25" fillId="26" borderId="40" xfId="54" applyFont="1" applyFill="1" applyBorder="1" applyAlignment="1" applyProtection="1">
      <alignment horizontal="center" vertical="center"/>
      <protection locked="0"/>
    </xf>
    <xf numFmtId="0" fontId="25" fillId="26" borderId="53" xfId="54" applyFont="1" applyFill="1" applyBorder="1" applyAlignment="1" applyProtection="1">
      <alignment horizontal="center" vertical="center"/>
      <protection locked="0"/>
    </xf>
    <xf numFmtId="0" fontId="25" fillId="26" borderId="54" xfId="54" applyFont="1" applyFill="1" applyBorder="1" applyAlignment="1" applyProtection="1">
      <alignment horizontal="center" vertical="center"/>
      <protection locked="0"/>
    </xf>
    <xf numFmtId="1" fontId="64" fillId="4" borderId="51" xfId="0" applyNumberFormat="1" applyFont="1" applyFill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/>
      <protection locked="0"/>
    </xf>
    <xf numFmtId="176" fontId="43" fillId="24" borderId="82" xfId="0" applyNumberFormat="1" applyFont="1" applyFill="1" applyBorder="1" applyAlignment="1" applyProtection="1">
      <alignment horizontal="center" vertical="center"/>
      <protection hidden="1"/>
    </xf>
    <xf numFmtId="0" fontId="22" fillId="0" borderId="83" xfId="0" applyFont="1" applyBorder="1" applyAlignment="1" applyProtection="1">
      <alignment/>
      <protection hidden="1"/>
    </xf>
    <xf numFmtId="176" fontId="43" fillId="24" borderId="84" xfId="0" applyNumberFormat="1" applyFont="1" applyFill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/>
      <protection hidden="1"/>
    </xf>
    <xf numFmtId="176" fontId="43" fillId="24" borderId="85" xfId="0" applyNumberFormat="1" applyFont="1" applyFill="1" applyBorder="1" applyAlignment="1" applyProtection="1">
      <alignment horizontal="center" vertical="center"/>
      <protection hidden="1"/>
    </xf>
    <xf numFmtId="0" fontId="22" fillId="0" borderId="86" xfId="0" applyFont="1" applyBorder="1" applyAlignment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odyfat aims" xfId="59"/>
    <cellStyle name="Normal_Monda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7">
    <dxf>
      <font>
        <color indexed="9"/>
      </font>
    </dxf>
    <dxf>
      <font>
        <color indexed="9"/>
      </font>
      <border>
        <left/>
        <right style="thin">
          <color indexed="12"/>
        </right>
        <top/>
        <bottom/>
      </border>
    </dxf>
    <dxf>
      <font>
        <color indexed="9"/>
      </font>
      <border>
        <left style="thin">
          <color indexed="12"/>
        </left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ill>
        <patternFill>
          <bgColor rgb="FFCCFFCC"/>
        </patternFill>
      </fill>
      <border/>
    </dxf>
    <dxf>
      <font>
        <color rgb="FF008000"/>
      </font>
      <fill>
        <patternFill>
          <bgColor rgb="FF008000"/>
        </patternFill>
      </fill>
      <border/>
    </dxf>
    <dxf>
      <font>
        <color rgb="FFC0C0C0"/>
      </font>
      <fill>
        <patternFill patternType="none">
          <bgColor indexed="65"/>
        </patternFill>
      </fill>
      <border/>
    </dxf>
    <dxf>
      <font>
        <u val="none"/>
        <strike val="0"/>
        <color rgb="FFC0C0C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  <dxf>
      <fill>
        <patternFill>
          <bgColor rgb="FF99CC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ill>
        <patternFill>
          <bgColor rgb="FF000000"/>
        </patternFill>
      </fill>
      <border/>
    </dxf>
    <dxf>
      <font>
        <b/>
        <i val="0"/>
      </font>
      <border>
        <top>
          <color rgb="FF000000"/>
        </top>
        <bottom>
          <color rgb="FF000000"/>
        </bottom>
      </border>
    </dxf>
    <dxf>
      <font>
        <b/>
        <i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ayofthedave.com/instructions/body-stat-calculator#BodyTapeMeasure" TargetMode="External" /><Relationship Id="rId3" Type="http://schemas.openxmlformats.org/officeDocument/2006/relationships/hyperlink" Target="http://wayofthedave.com/instructions/body-stat-calculator#BodyTapeMeasure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ayofthedave.com/instructions/body-stat-calculator#SkinFoldCalipers" TargetMode="External" /><Relationship Id="rId6" Type="http://schemas.openxmlformats.org/officeDocument/2006/relationships/hyperlink" Target="http://wayofthedave.com/instructions/body-stat-calculator#SkinFoldCalipers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ayofthedave.com/instructions/body-stat-calculator#BioelectricalImpedanceScales" TargetMode="External" /><Relationship Id="rId9" Type="http://schemas.openxmlformats.org/officeDocument/2006/relationships/hyperlink" Target="http://wayofthedave.com/instructions/body-stat-calculator#BioelectricalImpedanceScal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29</xdr:row>
      <xdr:rowOff>123825</xdr:rowOff>
    </xdr:from>
    <xdr:to>
      <xdr:col>4</xdr:col>
      <xdr:colOff>1219200</xdr:colOff>
      <xdr:row>32</xdr:row>
      <xdr:rowOff>238125</xdr:rowOff>
    </xdr:to>
    <xdr:pic>
      <xdr:nvPicPr>
        <xdr:cNvPr id="1" name="Picture 66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639127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</xdr:colOff>
      <xdr:row>25</xdr:row>
      <xdr:rowOff>180975</xdr:rowOff>
    </xdr:from>
    <xdr:to>
      <xdr:col>4</xdr:col>
      <xdr:colOff>1219200</xdr:colOff>
      <xdr:row>29</xdr:row>
      <xdr:rowOff>123825</xdr:rowOff>
    </xdr:to>
    <xdr:pic>
      <xdr:nvPicPr>
        <xdr:cNvPr id="2" name="Picture 66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54864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9525</xdr:colOff>
      <xdr:row>22</xdr:row>
      <xdr:rowOff>9525</xdr:rowOff>
    </xdr:from>
    <xdr:to>
      <xdr:col>4</xdr:col>
      <xdr:colOff>1219200</xdr:colOff>
      <xdr:row>25</xdr:row>
      <xdr:rowOff>180975</xdr:rowOff>
    </xdr:to>
    <xdr:pic>
      <xdr:nvPicPr>
        <xdr:cNvPr id="3" name="Picture 667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53075" y="4581525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0"/>
  </sheetPr>
  <dimension ref="A2:FZ6999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9.140625" defaultRowHeight="15"/>
  <cols>
    <col min="1" max="1" width="22.7109375" style="44" customWidth="1"/>
    <col min="2" max="5" width="20.140625" style="44" customWidth="1"/>
    <col min="6" max="6" width="20.140625" style="48" customWidth="1"/>
    <col min="7" max="7" width="20.140625" style="44" customWidth="1"/>
    <col min="8" max="8" width="22.7109375" style="47" customWidth="1"/>
    <col min="9" max="17" width="9.140625" style="47" customWidth="1"/>
    <col min="18" max="18" width="12.140625" style="48" customWidth="1"/>
    <col min="19" max="19" width="15.57421875" style="48" bestFit="1" customWidth="1"/>
    <col min="20" max="22" width="12.140625" style="48" customWidth="1"/>
    <col min="23" max="23" width="12.140625" style="44" customWidth="1"/>
    <col min="24" max="181" width="9.140625" style="44" customWidth="1"/>
    <col min="182" max="182" width="0" style="44" hidden="1" customWidth="1"/>
    <col min="183" max="16384" width="9.140625" style="44" customWidth="1"/>
  </cols>
  <sheetData>
    <row r="1" ht="10.5" customHeight="1" thickBot="1"/>
    <row r="2" spans="2:30" s="42" customFormat="1" ht="23.25">
      <c r="B2" s="407" t="s">
        <v>76</v>
      </c>
      <c r="C2" s="408"/>
      <c r="D2" s="408"/>
      <c r="E2" s="408"/>
      <c r="F2" s="408"/>
      <c r="G2" s="409"/>
      <c r="R2" s="43"/>
      <c r="AD2" s="43"/>
    </row>
    <row r="3" spans="2:30" s="42" customFormat="1" ht="24" customHeight="1" thickBot="1">
      <c r="B3" s="410" t="str">
        <f>HYPERLINK("http://www.wayofthedave.com","Way of the Dave")</f>
        <v>Way of the Dave</v>
      </c>
      <c r="C3" s="411"/>
      <c r="D3" s="411"/>
      <c r="E3" s="411"/>
      <c r="F3" s="411"/>
      <c r="G3" s="412"/>
      <c r="R3" s="43"/>
      <c r="AD3" s="43"/>
    </row>
    <row r="4" spans="2:22" s="77" customFormat="1" ht="12" customHeight="1" thickBot="1">
      <c r="B4" s="105"/>
      <c r="C4" s="106"/>
      <c r="D4" s="106"/>
      <c r="E4" s="106"/>
      <c r="F4" s="107"/>
      <c r="G4" s="108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83"/>
      <c r="T4" s="83"/>
      <c r="U4" s="83"/>
      <c r="V4" s="83"/>
    </row>
    <row r="5" spans="2:7" ht="19.5" thickBot="1">
      <c r="B5" s="49" t="s">
        <v>42</v>
      </c>
      <c r="C5" s="50" t="s">
        <v>142</v>
      </c>
      <c r="D5" s="45"/>
      <c r="E5" s="51" t="s">
        <v>43</v>
      </c>
      <c r="F5" s="67">
        <v>25</v>
      </c>
      <c r="G5" s="52"/>
    </row>
    <row r="6" spans="2:22" s="77" customFormat="1" ht="12" customHeight="1" thickBot="1">
      <c r="B6" s="86"/>
      <c r="C6" s="87"/>
      <c r="D6" s="88"/>
      <c r="E6" s="89"/>
      <c r="F6" s="85"/>
      <c r="G6" s="90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  <c r="S6" s="83"/>
      <c r="T6" s="83"/>
      <c r="U6" s="83"/>
      <c r="V6" s="83"/>
    </row>
    <row r="7" spans="1:7" ht="19.5" thickBot="1">
      <c r="A7" s="53"/>
      <c r="B7" s="109" t="s">
        <v>38</v>
      </c>
      <c r="C7" s="67" t="s">
        <v>143</v>
      </c>
      <c r="D7" s="53"/>
      <c r="E7" s="111" t="s">
        <v>33</v>
      </c>
      <c r="F7" s="50" t="s">
        <v>144</v>
      </c>
      <c r="G7" s="103"/>
    </row>
    <row r="8" spans="1:22" s="77" customFormat="1" ht="12" customHeight="1" thickBot="1">
      <c r="A8" s="87"/>
      <c r="B8" s="110"/>
      <c r="C8" s="88"/>
      <c r="D8" s="87"/>
      <c r="E8" s="88"/>
      <c r="F8" s="85"/>
      <c r="G8" s="104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83"/>
      <c r="T8" s="83"/>
      <c r="U8" s="83"/>
      <c r="V8" s="83"/>
    </row>
    <row r="9" spans="2:7" ht="19.5" thickBot="1">
      <c r="B9" s="413" t="s">
        <v>26</v>
      </c>
      <c r="C9" s="414"/>
      <c r="D9" s="414"/>
      <c r="E9" s="414" t="s">
        <v>27</v>
      </c>
      <c r="F9" s="415"/>
      <c r="G9" s="416"/>
    </row>
    <row r="10" spans="2:7" ht="12" customHeight="1" thickBot="1">
      <c r="B10" s="54"/>
      <c r="C10" s="45"/>
      <c r="D10" s="55"/>
      <c r="E10" s="56"/>
      <c r="F10" s="43"/>
      <c r="G10" s="46"/>
    </row>
    <row r="11" spans="2:7" ht="19.5" thickBot="1">
      <c r="B11" s="57" t="s">
        <v>3</v>
      </c>
      <c r="C11" s="264">
        <v>198</v>
      </c>
      <c r="D11" s="58" t="str">
        <f>IF(Measurements="Metric","Kilograms","Pounds")</f>
        <v>Pounds</v>
      </c>
      <c r="E11" s="59" t="s">
        <v>4</v>
      </c>
      <c r="F11" s="264">
        <v>72</v>
      </c>
      <c r="G11" s="60" t="str">
        <f>IF(Measurements="Metric","Centimetres","Inches")</f>
        <v>Inches</v>
      </c>
    </row>
    <row r="12" spans="2:22" s="77" customFormat="1" ht="12" customHeight="1" thickBot="1">
      <c r="B12" s="78"/>
      <c r="C12" s="87"/>
      <c r="D12" s="79"/>
      <c r="E12" s="80"/>
      <c r="F12" s="87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83"/>
      <c r="T12" s="83"/>
      <c r="U12" s="83"/>
      <c r="V12" s="83"/>
    </row>
    <row r="13" spans="1:7" ht="19.5" thickBot="1">
      <c r="A13" s="53"/>
      <c r="B13" s="57" t="s">
        <v>5</v>
      </c>
      <c r="C13" s="264">
        <v>33.5</v>
      </c>
      <c r="D13" s="58" t="str">
        <f>IF(Measurements="Metric","Centimetres","Inches")</f>
        <v>Inches</v>
      </c>
      <c r="E13" s="61" t="s">
        <v>8</v>
      </c>
      <c r="F13" s="264">
        <v>32.5</v>
      </c>
      <c r="G13" s="60" t="str">
        <f>IF(Measurements="Metric","Centimetres","Inches")</f>
        <v>Inches</v>
      </c>
    </row>
    <row r="14" spans="2:22" s="77" customFormat="1" ht="12" customHeight="1" thickBot="1">
      <c r="B14" s="78"/>
      <c r="C14" s="87"/>
      <c r="D14" s="79"/>
      <c r="E14" s="80"/>
      <c r="F14" s="87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/>
      <c r="S14" s="83"/>
      <c r="T14" s="83"/>
      <c r="U14" s="83"/>
      <c r="V14" s="83"/>
    </row>
    <row r="15" spans="2:7" ht="19.5" thickBot="1">
      <c r="B15" s="57" t="s">
        <v>7</v>
      </c>
      <c r="C15" s="263"/>
      <c r="D15" s="58" t="str">
        <f>IF(Measurements="Metric","Centimetres","Inches")</f>
        <v>Inches</v>
      </c>
      <c r="E15" s="61" t="s">
        <v>6</v>
      </c>
      <c r="F15" s="264">
        <v>14.6</v>
      </c>
      <c r="G15" s="60" t="str">
        <f>IF(Measurements="Metric","Centimetres","Inches")</f>
        <v>Inches</v>
      </c>
    </row>
    <row r="16" spans="2:22" s="77" customFormat="1" ht="12" customHeight="1" thickBot="1">
      <c r="B16" s="78"/>
      <c r="C16" s="87"/>
      <c r="D16" s="79"/>
      <c r="E16" s="80"/>
      <c r="F16" s="87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S16" s="83"/>
      <c r="T16" s="83"/>
      <c r="U16" s="83"/>
      <c r="V16" s="83"/>
    </row>
    <row r="17" spans="2:7" ht="19.5" thickBot="1">
      <c r="B17" s="57" t="s">
        <v>9</v>
      </c>
      <c r="C17" s="263"/>
      <c r="D17" s="58" t="str">
        <f>IF(Measurements="Metric","Centimetres","Inches")</f>
        <v>Inches</v>
      </c>
      <c r="E17" s="61" t="s">
        <v>9</v>
      </c>
      <c r="F17" s="263"/>
      <c r="G17" s="60" t="str">
        <f>IF(Measurements="Metric","Centimetres","Inches")</f>
        <v>Inches</v>
      </c>
    </row>
    <row r="18" spans="2:22" s="77" customFormat="1" ht="12" customHeight="1" thickBot="1">
      <c r="B18" s="78"/>
      <c r="C18" s="87"/>
      <c r="D18" s="79"/>
      <c r="E18" s="80"/>
      <c r="F18" s="87"/>
      <c r="G18" s="81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3"/>
      <c r="T18" s="83"/>
      <c r="U18" s="83"/>
      <c r="V18" s="83"/>
    </row>
    <row r="19" spans="2:7" ht="19.5" thickBot="1">
      <c r="B19" s="57" t="s">
        <v>10</v>
      </c>
      <c r="C19" s="263"/>
      <c r="D19" s="58" t="str">
        <f>IF(Measurements="Metric","Centimetres","Inches")</f>
        <v>Inches</v>
      </c>
      <c r="E19" s="144"/>
      <c r="F19" s="164"/>
      <c r="G19" s="103"/>
    </row>
    <row r="20" spans="2:22" s="77" customFormat="1" ht="12" customHeight="1">
      <c r="B20" s="78"/>
      <c r="C20" s="87"/>
      <c r="D20" s="84"/>
      <c r="E20" s="87"/>
      <c r="F20" s="87"/>
      <c r="G20" s="165"/>
      <c r="H20" s="313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3"/>
      <c r="T20" s="83"/>
      <c r="U20" s="83"/>
      <c r="V20" s="83"/>
    </row>
    <row r="21" spans="1:7" ht="18.75">
      <c r="A21" s="139"/>
      <c r="B21" s="57" t="s">
        <v>11</v>
      </c>
      <c r="C21" s="266">
        <f>IF(C5="Female",(IF(Measurements="Metric",C11/0.45359,C11)-(IF(Measurements="Metric",C11/0.45359,C11)*0.732+8.987+IF(Measurements="Metric",C13/2.54,C13)/3.14-C15*0.157-IF(Measurements="Metric",C17/2.54,C17)*0.249+IF(Measurements="Metric",C19/2.54,C19)*0.434))*100/IF(Measurements="Metric",C11/0.45359,C11),(IF(Measurements="Metric",C11/0.45359,C11)-(IF(Measurements="Metric",C11/0.45359,C11)*1.082+94.42-IF(Measurements="Metric",C13/2.54,C13)*4.15))*100/IF(Measurements="Metric",C11/0.45359,C11))</f>
        <v>14.327777777777778</v>
      </c>
      <c r="D21" s="58" t="s">
        <v>12</v>
      </c>
      <c r="E21" s="62" t="s">
        <v>11</v>
      </c>
      <c r="F21" s="265">
        <f>IF(C5="Female",495/(1.29579-0.35004*LOG((IF(Measurements="Metric",F13/2.54,F13)+IF(Measurements="Metric",F17/2.54,F17)-IF(Measurements="Metric",F15/2.54,F15))*2.54)+0.221*LOG(IF(Measurements="Metric",F11/2.54,F11)*2.54))-450,495/(1.0324-0.19077*LOG((IF(Measurements="Metric",F13/2.54,F13)-IF(Measurements="Metric",F15/2.54,F15))*2.54)+0.15456*LOG(IF(Measurements="Metric",F11/2.54,F11)*2.54))-450)</f>
        <v>14.438328263165431</v>
      </c>
      <c r="G21" s="60" t="s">
        <v>12</v>
      </c>
    </row>
    <row r="22" spans="1:7" ht="19.5" thickBot="1">
      <c r="A22" s="48"/>
      <c r="B22" s="316"/>
      <c r="C22" s="317"/>
      <c r="D22" s="318"/>
      <c r="E22" s="56"/>
      <c r="F22" s="399"/>
      <c r="G22" s="319"/>
    </row>
    <row r="23" spans="2:7" ht="19.5" thickBot="1">
      <c r="B23" s="320"/>
      <c r="C23" s="321"/>
      <c r="D23" s="322"/>
      <c r="E23" s="320"/>
      <c r="F23" s="398"/>
      <c r="G23" s="323"/>
    </row>
    <row r="24" spans="1:7" ht="19.5" thickBot="1">
      <c r="A24" s="103"/>
      <c r="B24" s="141" t="s">
        <v>41</v>
      </c>
      <c r="C24" s="67"/>
      <c r="D24" s="53"/>
      <c r="E24" s="66"/>
      <c r="F24" s="324"/>
      <c r="G24" s="325"/>
    </row>
    <row r="25" spans="1:7" ht="18.75">
      <c r="A25" s="103"/>
      <c r="B25" s="112" t="s">
        <v>40</v>
      </c>
      <c r="C25" s="261">
        <f>IF(C24=0,IF(ISERROR(AVERAGE(C21,F21)),"0",(AVERAGE(C21,F21))),C24)</f>
        <v>14.383053020471603</v>
      </c>
      <c r="D25" s="45"/>
      <c r="E25" s="66"/>
      <c r="F25" s="400" t="str">
        <f>(HYPERLINK("http://wayofthedave.com/instructions/body-stat-calculator/#BioelectricalImpedanceScales","Body Fat Scales"))</f>
        <v>Body Fat Scales</v>
      </c>
      <c r="G25" s="63"/>
    </row>
    <row r="26" spans="2:7" ht="18.75">
      <c r="B26" s="112" t="s">
        <v>11</v>
      </c>
      <c r="C26" s="262">
        <f>IF(Measurements="Metric",IF(C24=0,IF(Measurements="Metric",C11/0.45359,C11)*C25%,IF(Measurements="Metric",C11/0.45359,C11)*C24%)*0.45359,IF(C24=0,IF(Measurements="Metric",C11/0.45359,C11)*C25%,IF(Measurements="Metric",C11/0.45359,C11)*C24%))</f>
        <v>28.478444980533773</v>
      </c>
      <c r="D26" s="64" t="str">
        <f>IF(Measurements="Metric","Kilograms","Pounds")</f>
        <v>Pounds</v>
      </c>
      <c r="E26" s="66"/>
      <c r="F26" s="164"/>
      <c r="G26" s="63"/>
    </row>
    <row r="27" spans="2:7" ht="18.75">
      <c r="B27" s="112" t="s">
        <v>29</v>
      </c>
      <c r="C27" s="261">
        <f>IF(Measurements="Metric",C11-C26,IF(Measurements="Metric",C11/0.45359,C11)-C26)</f>
        <v>169.52155501946623</v>
      </c>
      <c r="D27" s="65" t="str">
        <f>IF(Measurements="Metric","Kilograms","Pounds")</f>
        <v>Pounds</v>
      </c>
      <c r="E27" s="66"/>
      <c r="F27" s="164"/>
      <c r="G27" s="63"/>
    </row>
    <row r="28" spans="2:7" ht="18.75">
      <c r="B28" s="66"/>
      <c r="C28" s="53"/>
      <c r="D28" s="53"/>
      <c r="E28" s="66"/>
      <c r="F28" s="400" t="str">
        <f>HYPERLINK("http://wayofthedave.com/instructions/body-stat-calculator/#SkinFoldCalipers","Skinfold Calipers")</f>
        <v>Skinfold Calipers</v>
      </c>
      <c r="G28" s="63"/>
    </row>
    <row r="29" spans="1:7" ht="19.5" thickBot="1">
      <c r="A29" s="103"/>
      <c r="B29" s="404" t="s">
        <v>31</v>
      </c>
      <c r="C29" s="405"/>
      <c r="D29" s="406"/>
      <c r="E29" s="66"/>
      <c r="F29" s="164"/>
      <c r="G29" s="63"/>
    </row>
    <row r="30" spans="1:7" ht="19.5" thickBot="1">
      <c r="A30" s="103"/>
      <c r="B30" s="67" t="s">
        <v>74</v>
      </c>
      <c r="C30" s="67"/>
      <c r="D30" s="68" t="str">
        <f>IF(B30="Feet",CONCATENATE(ROUND(SUM(C30*12),2)," ","Inches"),IF(B30="Meters",CONCATENATE(ROUND(SUM(C30/0.0254),2)," ","Inches"),IF(B30="Centimetres",CONCATENATE(ROUND(SUM(C30/2.54),2)," ","Inches"))))</f>
        <v>0 Inches</v>
      </c>
      <c r="E30" s="66"/>
      <c r="F30" s="164"/>
      <c r="G30" s="63"/>
    </row>
    <row r="31" spans="1:7" ht="19.5" thickBot="1">
      <c r="A31" s="103"/>
      <c r="B31" s="67" t="s">
        <v>85</v>
      </c>
      <c r="C31" s="69"/>
      <c r="D31" s="68" t="str">
        <f>IF(B31="Feet",CONCATENATE(ROUND(SUM(C31*30.48),2)," ","Centimetres"),IF(B31="Meters",CONCATENATE(ROUND(SUM(C31*100),2)," ","Centimetres"),IF(B31="Inches",CONCATENATE(ROUND(SUM(C31*2.54),2)," ","Centimetres"))))</f>
        <v>0 Centimetres</v>
      </c>
      <c r="E31" s="66"/>
      <c r="F31" s="400" t="str">
        <f>(HYPERLINK("http://wayofthedave.com/instructions/body-stat-calculator/#BodyTapeMeasure","Body Tape Measure"))</f>
        <v>Body Tape Measure</v>
      </c>
      <c r="G31" s="63"/>
    </row>
    <row r="32" spans="1:7" ht="19.5" thickBot="1">
      <c r="A32" s="103"/>
      <c r="B32" s="67" t="s">
        <v>18</v>
      </c>
      <c r="C32" s="67"/>
      <c r="D32" s="70" t="str">
        <f>IF(B32="Stone",CONCATENATE(ROUND(SUM(C32*14),2)," ","Pounds"),IF(B32="Kilograms",CONCATENATE(ROUND(SUM(C32/0.45359),2)," ","Pounds"),IF(B32="Grams",CONCATENATE(ROUND(SUM(C32*0.00220462262),2)," ","Pounds"),IF(B32="Ounces",CONCATENATE(ROUND(SUM(C32*0.0625),2)," ","Pounds")))))</f>
        <v>0 Pounds</v>
      </c>
      <c r="E32" s="66"/>
      <c r="F32" s="164"/>
      <c r="G32" s="63"/>
    </row>
    <row r="33" spans="1:7" ht="19.5" thickBot="1">
      <c r="A33" s="103"/>
      <c r="B33" s="213" t="s">
        <v>19</v>
      </c>
      <c r="C33" s="214"/>
      <c r="D33" s="215" t="str">
        <f>IF(B33="Stone",CONCATENATE(ROUND(SUM(C33*6.35029318),2)," ","Kilograms"),IF(B33="Pounds",CONCATENATE(ROUND(SUM(C33*0.45359237),2)," ","Kilograms"),IF(B33="Grams",CONCATENATE(ROUND(SUM(C33*0.001),2)," ","Kilograms"),IF(B33="Ounces",CONCATENATE(ROUND(SUM(C33*0.0283495231),2)," ","Kilograms")))))</f>
        <v>0 Kilograms</v>
      </c>
      <c r="E33" s="326"/>
      <c r="F33" s="327"/>
      <c r="G33" s="328"/>
    </row>
    <row r="34" spans="2:7" ht="27" customHeight="1" thickBot="1">
      <c r="B34" s="401" t="str">
        <f>HYPERLINK("http://www.wayofthedave.com","For Instructions Go To Way Of The Dave  . Com")</f>
        <v>For Instructions Go To Way Of The Dave  . Com</v>
      </c>
      <c r="C34" s="402"/>
      <c r="D34" s="402"/>
      <c r="E34" s="402"/>
      <c r="F34" s="402"/>
      <c r="G34" s="403"/>
    </row>
    <row r="35" spans="1:7" ht="18.75">
      <c r="A35" s="157"/>
      <c r="B35" s="157" t="s">
        <v>84</v>
      </c>
      <c r="C35" s="157"/>
      <c r="D35" s="157"/>
      <c r="E35" s="158"/>
      <c r="F35" s="159"/>
      <c r="G35" s="74"/>
    </row>
    <row r="36" spans="2:22" s="157" customFormat="1" ht="18.75">
      <c r="B36" s="160"/>
      <c r="C36" s="279"/>
      <c r="E36" s="279"/>
      <c r="G36" s="161"/>
      <c r="H36" s="161"/>
      <c r="I36" s="161"/>
      <c r="J36" s="161"/>
      <c r="K36" s="161"/>
      <c r="L36" s="162"/>
      <c r="M36" s="162"/>
      <c r="N36" s="162"/>
      <c r="O36" s="162"/>
      <c r="P36" s="162"/>
      <c r="Q36" s="162"/>
      <c r="R36" s="163"/>
      <c r="S36" s="163"/>
      <c r="T36" s="163"/>
      <c r="U36" s="163"/>
      <c r="V36" s="163"/>
    </row>
    <row r="37" spans="2:7" ht="18.75">
      <c r="B37" s="113"/>
      <c r="C37" s="186"/>
      <c r="D37" s="186"/>
      <c r="E37" s="186"/>
      <c r="F37" s="186"/>
      <c r="G37" s="74"/>
    </row>
    <row r="38" spans="3:7" ht="18.75">
      <c r="C38" s="186"/>
      <c r="D38" s="186"/>
      <c r="E38" s="186"/>
      <c r="F38" s="186"/>
      <c r="G38" s="73"/>
    </row>
    <row r="39" spans="1:22" ht="18.75">
      <c r="A39" s="71"/>
      <c r="C39" s="186"/>
      <c r="D39" s="186"/>
      <c r="E39" s="186"/>
      <c r="F39" s="186"/>
      <c r="G39" s="74"/>
      <c r="R39" s="44"/>
      <c r="S39" s="44"/>
      <c r="T39" s="44"/>
      <c r="U39" s="44"/>
      <c r="V39" s="44"/>
    </row>
    <row r="40" spans="1:22" ht="18.75">
      <c r="A40" s="72"/>
      <c r="C40" s="186"/>
      <c r="D40" s="186"/>
      <c r="E40" s="186"/>
      <c r="F40" s="186"/>
      <c r="G40" s="73"/>
      <c r="R40" s="44"/>
      <c r="S40" s="44"/>
      <c r="T40" s="44"/>
      <c r="U40" s="44"/>
      <c r="V40" s="44"/>
    </row>
    <row r="41" spans="1:22" ht="18.75">
      <c r="A41" s="72"/>
      <c r="C41" s="186"/>
      <c r="D41" s="186"/>
      <c r="E41" s="186"/>
      <c r="F41" s="186"/>
      <c r="G41" s="74"/>
      <c r="R41" s="44"/>
      <c r="S41" s="44"/>
      <c r="T41" s="44"/>
      <c r="U41" s="44"/>
      <c r="V41" s="44"/>
    </row>
    <row r="42" spans="1:22" ht="18.75">
      <c r="A42" s="72"/>
      <c r="C42" s="187"/>
      <c r="D42" s="187"/>
      <c r="E42" s="187"/>
      <c r="F42" s="187"/>
      <c r="R42" s="44"/>
      <c r="S42" s="44"/>
      <c r="T42" s="44"/>
      <c r="U42" s="44"/>
      <c r="V42" s="44"/>
    </row>
    <row r="43" spans="1:22" ht="18.75">
      <c r="A43" s="72"/>
      <c r="C43" s="186"/>
      <c r="D43" s="187"/>
      <c r="E43" s="186"/>
      <c r="F43" s="187"/>
      <c r="R43" s="44"/>
      <c r="S43" s="44"/>
      <c r="T43" s="44"/>
      <c r="U43" s="44"/>
      <c r="V43" s="44"/>
    </row>
    <row r="44" spans="1:22" ht="18.75">
      <c r="A44" s="72"/>
      <c r="C44" s="186"/>
      <c r="D44" s="187"/>
      <c r="E44" s="186"/>
      <c r="F44" s="187"/>
      <c r="R44" s="44"/>
      <c r="S44" s="44"/>
      <c r="T44" s="44"/>
      <c r="U44" s="44"/>
      <c r="V44" s="44"/>
    </row>
    <row r="45" spans="1:22" ht="18.75">
      <c r="A45" s="72"/>
      <c r="C45" s="186"/>
      <c r="D45" s="187"/>
      <c r="E45" s="186"/>
      <c r="F45" s="187"/>
      <c r="R45" s="44"/>
      <c r="S45" s="44"/>
      <c r="T45" s="44"/>
      <c r="U45" s="44"/>
      <c r="V45" s="44"/>
    </row>
    <row r="46" spans="1:22" ht="18.75">
      <c r="A46" s="72"/>
      <c r="C46" s="186"/>
      <c r="D46" s="187"/>
      <c r="E46" s="186"/>
      <c r="F46" s="187"/>
      <c r="R46" s="44"/>
      <c r="S46" s="44"/>
      <c r="T46" s="44"/>
      <c r="U46" s="44"/>
      <c r="V46" s="44"/>
    </row>
    <row r="47" spans="1:22" ht="18.75">
      <c r="A47" s="72"/>
      <c r="F47" s="44"/>
      <c r="R47" s="44"/>
      <c r="S47" s="44"/>
      <c r="T47" s="44"/>
      <c r="U47" s="44"/>
      <c r="V47" s="44"/>
    </row>
    <row r="48" spans="1:22" ht="18.75">
      <c r="A48" s="72"/>
      <c r="F48" s="44"/>
      <c r="R48" s="44"/>
      <c r="S48" s="44"/>
      <c r="T48" s="44"/>
      <c r="U48" s="44"/>
      <c r="V48" s="44"/>
    </row>
    <row r="50" spans="1:22" ht="18.75">
      <c r="A50" s="72"/>
      <c r="B50" s="75"/>
      <c r="C50" s="75"/>
      <c r="F50" s="44"/>
      <c r="R50" s="44"/>
      <c r="S50" s="44"/>
      <c r="T50" s="44"/>
      <c r="U50" s="44"/>
      <c r="V50" s="44"/>
    </row>
    <row r="51" spans="1:22" ht="18.75">
      <c r="A51" s="72"/>
      <c r="B51" s="75"/>
      <c r="C51" s="75"/>
      <c r="F51" s="44"/>
      <c r="R51" s="44"/>
      <c r="S51" s="44"/>
      <c r="T51" s="44"/>
      <c r="U51" s="44"/>
      <c r="V51" s="44"/>
    </row>
    <row r="52" spans="4:7" ht="18.75">
      <c r="D52" s="76"/>
      <c r="E52" s="76"/>
      <c r="F52" s="76"/>
      <c r="G52" s="76"/>
    </row>
    <row r="53" spans="4:7" ht="18.75">
      <c r="D53" s="76"/>
      <c r="E53" s="76"/>
      <c r="F53" s="76"/>
      <c r="G53" s="76"/>
    </row>
    <row r="6999" ht="18.75">
      <c r="FZ6999" s="44" t="s">
        <v>65</v>
      </c>
    </row>
  </sheetData>
  <sheetProtection password="F3F5" sheet="1" selectLockedCells="1"/>
  <mergeCells count="6">
    <mergeCell ref="B34:G34"/>
    <mergeCell ref="B29:D29"/>
    <mergeCell ref="B2:G2"/>
    <mergeCell ref="B3:G3"/>
    <mergeCell ref="B9:D9"/>
    <mergeCell ref="E9:G9"/>
  </mergeCells>
  <conditionalFormatting sqref="D19 D17 D15">
    <cfRule type="expression" priority="1" dxfId="3" stopIfTrue="1">
      <formula>$C$5="Male"</formula>
    </cfRule>
  </conditionalFormatting>
  <conditionalFormatting sqref="B15 B17 B19 E17 G17">
    <cfRule type="expression" priority="2" dxfId="0" stopIfTrue="1">
      <formula>$C$5="Male"</formula>
    </cfRule>
  </conditionalFormatting>
  <conditionalFormatting sqref="C15 C17 C19 F17">
    <cfRule type="expression" priority="3" dxfId="4" stopIfTrue="1">
      <formula>$C$5="Male"</formula>
    </cfRule>
    <cfRule type="expression" priority="4" dxfId="5" stopIfTrue="1">
      <formula>$C$5="female"</formula>
    </cfRule>
  </conditionalFormatting>
  <conditionalFormatting sqref="C21">
    <cfRule type="expression" priority="5" dxfId="6" stopIfTrue="1">
      <formula>ISERROR($C$21)</formula>
    </cfRule>
  </conditionalFormatting>
  <conditionalFormatting sqref="F21">
    <cfRule type="expression" priority="6" dxfId="6" stopIfTrue="1">
      <formula>ISERROR($F$21)</formula>
    </cfRule>
  </conditionalFormatting>
  <dataValidations count="8">
    <dataValidation type="list" allowBlank="1" showInputMessage="1" showErrorMessage="1" sqref="B32">
      <formula1>"Stone, Kilograms, Grams, Ounces"</formula1>
    </dataValidation>
    <dataValidation operator="lessThan" allowBlank="1" showInputMessage="1" showErrorMessage="1" sqref="C30:C33"/>
    <dataValidation type="list" allowBlank="1" showInputMessage="1" showErrorMessage="1" sqref="B33">
      <formula1>"Stone, Pounds, Grams, Ounces"</formula1>
    </dataValidation>
    <dataValidation type="list" allowBlank="1" showInputMessage="1" showErrorMessage="1" sqref="B31">
      <formula1>"Feet, Meters,Inches"</formula1>
    </dataValidation>
    <dataValidation type="list" allowBlank="1" showInputMessage="1" showErrorMessage="1" sqref="B30">
      <formula1>"Feet, Meters,Centimetres"</formula1>
    </dataValidation>
    <dataValidation type="list" allowBlank="1" showInputMessage="1" showErrorMessage="1" sqref="F7">
      <formula1>"Imperial, Metric"</formula1>
    </dataValidation>
    <dataValidation type="list" allowBlank="1" showInputMessage="1" showErrorMessage="1" sqref="C7">
      <formula1>"Sedentary, Barely Active, Active, Very Active, Extremely Active"</formula1>
    </dataValidation>
    <dataValidation type="list" allowBlank="1" showInputMessage="1" showErrorMessage="1" sqref="C5">
      <formula1>"Female, Male, Bit of Both"</formula1>
    </dataValidation>
  </dataValidations>
  <printOptions horizontalCentered="1" verticalCentered="1"/>
  <pageMargins left="0.31496062992125984" right="0.5905511811023623" top="0.11811023622047245" bottom="0.11811023622047245" header="0.11811023622047245" footer="0.15748031496062992"/>
  <pageSetup fitToHeight="2" fitToWidth="2" orientation="landscape" pageOrder="overThenDown" r:id="rId4"/>
  <ignoredErrors>
    <ignoredError sqref="B3 B34" unlockedFormula="1"/>
    <ignoredError sqref="C21" emptyCellReference="1" evalError="1"/>
    <ignoredError sqref="D21:E21" evalError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GA6998"/>
  <sheetViews>
    <sheetView showGridLines="0" showRowColHeaders="0" showZeros="0" showOutlineSymbols="0" zoomScale="95" zoomScaleNormal="95" workbookViewId="0" topLeftCell="A1">
      <pane ySplit="12" topLeftCell="BM14" activePane="bottomLeft" state="frozen"/>
      <selection pane="topLeft" activeCell="A1" sqref="A1"/>
      <selection pane="bottomLeft" activeCell="C29" sqref="C29:C30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100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Database'!B148," - ",'Food Database'!C148," / ",'Food Database'!B149," - ",'Food Database'!C149," / ",'Food Database'!B150," - ",'Food Database'!C150," / ",'Food Database'!B151," - ",'Food Database'!C151," / ",'Food Database'!B152," - ",'Food Database'!C152)</f>
        <v>141 - Apple / 142 - Baked Potato / 143 - Banana / 144 - Beans (reduced salt) / 145 -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42.46</v>
      </c>
      <c r="K3" s="124">
        <f>E33</f>
        <v>33.445</v>
      </c>
      <c r="L3" s="124">
        <f>F33</f>
        <v>29.339999999999996</v>
      </c>
      <c r="M3" s="124">
        <f>I20</f>
        <v>567.68</v>
      </c>
    </row>
    <row r="4" spans="2:13" ht="15">
      <c r="B4" s="451" t="str">
        <f>CONCATENATE('Food Database'!B153," - ",'Food Database'!C153," / ",'Food Database'!B154," - ",'Food Database'!C154," / ",'Food Database'!B155," - ",'Food Database'!C155," / ",'Food Database'!B156," - ",'Food Database'!C156," / ",'Food Database'!B157," - ",'Food Database'!C157)</f>
        <v>146 - Chicken breast (raw) / 147 - Diced Onion / 148 - Egg 56g / 149 - GF Pasta / 150 -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Database'!B158," - ",'Food Database'!C158," / ",'Food Database'!B159," - ",'Food Database'!C159," / ",'Food Database'!B160," - ",'Food Database'!C160," / ",'Food Database'!B161," - ",'Food Database'!C161," / ",'Food Database'!B162," - ",'Food Database'!C162)</f>
        <v>151 - Lactose Free Milk Semi / 152 - Mccains oven chips (frozen) / 153 - Micellar Caseine (IronS) / 154 - Minus 1 Egg Yolk / 155 -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79.97172240802675</v>
      </c>
      <c r="K5" s="124">
        <f>E97</f>
        <v>50.73924749163881</v>
      </c>
      <c r="L5" s="124">
        <f>F97</f>
        <v>5.152558528428092</v>
      </c>
      <c r="M5" s="124">
        <f>I84</f>
        <v>569.216906354515</v>
      </c>
    </row>
    <row r="6" spans="2:13" ht="15">
      <c r="B6" s="451" t="str">
        <f>CONCATENATE('Food Database'!B163," - ",'Food Database'!C163," / ",'Food Database'!B164," - ",'Food Database'!C164," / ",'Food Database'!B165," - ",'Food Database'!C165," / ",'Food Database'!B166," - ",'Food Database'!C166," / ",'Food Database'!B167," - ",'Food Database'!C167)</f>
        <v>156 - Oats / 157 - Organic Crunchy PB / 158 - Peanut Butter / 159 - Peas / 160 -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Database'!B168," - ",'Food Database'!C168," / ",'Food Database'!B169," - ",'Food Database'!C169," / ",'Food Database'!B170," - ",'Food Database'!C170," / ",'Food Database'!B171," - ",'Food Database'!C171," / ",'Food Database'!B172," - ",'Food Database'!C172)</f>
        <v>161 - Rapeseed Oil / 162 - Rice (uncooked weight) / 163 - Rump Steak / 164 - Grated cheese light / 165 -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Database'!B173," - ",'Food Database'!C173," / ",'Food Database'!B174," - ",'Food Database'!C174," / ",'Food Database'!B175," - ",'Food Database'!C175," / ",'Food Database'!B176," - ",'Food Database'!C176," / ",'Food Database'!B177," - ",'Food Database'!C177)</f>
        <v>166 - organic honey / 167 - Tomato sauce / 168 - Dried Mixed Fruit / 169 - Broccoli, Boiled / 170 - </v>
      </c>
      <c r="C8" s="451"/>
      <c r="D8" s="451"/>
      <c r="E8" s="451"/>
      <c r="F8" s="451"/>
      <c r="G8" s="451"/>
      <c r="H8" s="451"/>
      <c r="I8" s="152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Database'!B178," - ",'Food Database'!C178," / ",'Food Database'!B179," - ",'Food Database'!C179," / ",'Food Database'!B180," - ",'Food Database'!C180," / ",'Food Database'!B181," - ",'Food Database'!C181," / ",'Food Database'!B182," - ",'Food Database'!C182)</f>
        <v>171 -  / 172 -  / 173 -  / 174 -  / 175 -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215.77961129691565</v>
      </c>
      <c r="K9" s="136">
        <f>SUM(K3:K8)</f>
        <v>211.43091415830546</v>
      </c>
      <c r="L9" s="136">
        <f>SUM(L3:L8)</f>
        <v>66.64200297287253</v>
      </c>
      <c r="M9" s="136">
        <f>SUM(M3:M8)</f>
        <v>2308.620128576737</v>
      </c>
    </row>
    <row r="10" spans="9:13" ht="15.75">
      <c r="I10" s="116"/>
      <c r="J10" s="135">
        <f>IF(ISERROR(SUM(J9*4)/SUM($J$9*4+$K$9*4+$L$9*9)),"0",(J9*4)/SUM(J9*4+K9*4+L9*9))</f>
        <v>0.37386767727775744</v>
      </c>
      <c r="K10" s="135">
        <f>IF(ISERROR(SUM(K9*4)/SUM($J$9*4+$K$9*4+$L$9*9)),"0",(K9*4)/SUM(J9*4+K9*4+L9*9))</f>
        <v>0.36633296494499934</v>
      </c>
      <c r="L10" s="135">
        <f>IF(ISERROR(SUM(L9*9)/SUM($J$9*4+$K$9*4+$L$9*9)),"0",(L9*9)/SUM(J9*4+K9*4+L9*9))</f>
        <v>0.2597993577772431</v>
      </c>
      <c r="M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Day5</v>
      </c>
      <c r="D14" s="115" t="s">
        <v>46</v>
      </c>
      <c r="E14" s="130">
        <f>Totals!E5-M9</f>
        <v>191.379871423263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0.29918263810597523</v>
      </c>
      <c r="J17" s="142" t="str">
        <f>CONCATENATE(ROUND(D33,1)," ","g")</f>
        <v>42.5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0.2356609357384442</v>
      </c>
      <c r="J18" s="142" t="str">
        <f>CONCATENATE(ROUND(E33,1)," ","g")</f>
        <v>33.4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">
      <c r="A19" s="449"/>
      <c r="B19" s="450" t="str">
        <f>B38</f>
        <v>Egg 56g</v>
      </c>
      <c r="C19" s="458">
        <v>3</v>
      </c>
      <c r="D19" s="457">
        <f>SUM(C19*(D38/C38))</f>
        <v>21.84</v>
      </c>
      <c r="E19" s="457">
        <f>SUM(C19*(E38/C38))</f>
        <v>1.6800000000000002</v>
      </c>
      <c r="F19" s="457">
        <f>SUM(C19*(F38/C38))</f>
        <v>16.799999999999997</v>
      </c>
      <c r="H19" s="35" t="s">
        <v>72</v>
      </c>
      <c r="I19" s="25">
        <f>IF(ISERROR(SUM(F33*9)/SUM(D33*4+E33*4+F33*9)),0,SUM(F33*9)/SUM(D33*4+E33*4+F33*9))</f>
        <v>0.46515642615558056</v>
      </c>
      <c r="J19" s="142" t="str">
        <f>CONCATENATE(ROUND(F33,1)," ","g")</f>
        <v>29.3 g</v>
      </c>
      <c r="K19" s="120"/>
      <c r="L19" s="120"/>
      <c r="M19" s="120"/>
      <c r="N19" s="120"/>
      <c r="O19" s="120"/>
      <c r="P19" s="120"/>
      <c r="Q19" s="120"/>
    </row>
    <row r="20" spans="1:21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567.68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Diced Onion</v>
      </c>
      <c r="C27" s="458">
        <v>50</v>
      </c>
      <c r="D27" s="457">
        <f>SUM(C27*(D42/C42))</f>
        <v>0.6</v>
      </c>
      <c r="E27" s="457">
        <f>SUM(C27*(E42/C42))</f>
        <v>3.95</v>
      </c>
      <c r="F27" s="457">
        <f>SUM(C27*(F42/C42))</f>
        <v>0.1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>
        <f>B43</f>
        <v>0</v>
      </c>
      <c r="C29" s="458"/>
      <c r="D29" s="457">
        <f>SUM(C29*(D43/C43))</f>
        <v>0</v>
      </c>
      <c r="E29" s="457">
        <f>SUM(C29*(E43/C43))</f>
        <v>0</v>
      </c>
      <c r="F29" s="457">
        <f>SUM(C29*(F43/C43))</f>
        <v>0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42.46</v>
      </c>
      <c r="E33" s="455">
        <f>SUM(E17:E32)</f>
        <v>33.445</v>
      </c>
      <c r="F33" s="455">
        <f>SUM(F17:F32)</f>
        <v>29.339999999999996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9</v>
      </c>
      <c r="B42" s="28" t="str">
        <f>VLOOKUP(A:A,'Food Database'!B:C,2,FALSE)</f>
        <v>Diced Onion</v>
      </c>
      <c r="C42" s="24">
        <f>VLOOKUP(A:A,'Food Database'!B:E,4,FALSE)</f>
        <v>100</v>
      </c>
      <c r="D42" s="29">
        <f>VLOOKUP(A:A,'Food Database'!B:F,5,FALSE)</f>
        <v>1.2</v>
      </c>
      <c r="E42" s="29">
        <f>VLOOKUP(A:A,'Food Database'!B:G,6,FALSE)</f>
        <v>7.9</v>
      </c>
      <c r="F42" s="29">
        <f>VLOOKUP(A:A,'Food Database'!B:H,7,FALSE)</f>
        <v>0.2</v>
      </c>
      <c r="H42" s="24" t="str">
        <f>VLOOKUP(A:A,'Food Database'!B:H,3,FALSE)</f>
        <v>Grams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/>
      <c r="B43" s="28">
        <f>VLOOKUP(A:A,'Food Database'!B:C,2,FALSE)</f>
        <v>0</v>
      </c>
      <c r="C43" s="24">
        <f>VLOOKUP(A:A,'Food Database'!B:E,4,FALSE)</f>
        <v>100</v>
      </c>
      <c r="D43" s="29">
        <f>VLOOKUP(A:A,'Food Database'!B:F,5,FALSE)</f>
        <v>0</v>
      </c>
      <c r="E43" s="29">
        <f>VLOOKUP(A:A,'Food Database'!B:G,6,FALSE)</f>
        <v>0</v>
      </c>
      <c r="F43" s="29">
        <f>VLOOKUP(A:A,'Food Database'!B:H,7,FALSE)</f>
        <v>0</v>
      </c>
      <c r="H43" s="24">
        <f>VLOOKUP(A:A,'Food Database'!B:H,3,FALSE)</f>
        <v>0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Day5</v>
      </c>
      <c r="D46" s="115" t="str">
        <f>D14</f>
        <v>Calories left to use =</v>
      </c>
      <c r="E46" s="130">
        <f>E14</f>
        <v>191.379871423263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Day5</v>
      </c>
      <c r="D78" s="115" t="str">
        <f>D46</f>
        <v>Calories left to use =</v>
      </c>
      <c r="E78" s="130">
        <f>E46</f>
        <v>191.379871423263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Chicken breast (raw)</v>
      </c>
      <c r="C81" s="461">
        <v>300</v>
      </c>
      <c r="D81" s="455">
        <f>SUM(C81*(D101/C101))</f>
        <v>69.27</v>
      </c>
      <c r="E81" s="455">
        <f>SUM(C81*(E101/C101))</f>
        <v>0</v>
      </c>
      <c r="F81" s="455">
        <f>SUM(C81*(F101/C101))</f>
        <v>3.7199999999999998</v>
      </c>
      <c r="H81" s="35" t="s">
        <v>70</v>
      </c>
      <c r="I81" s="25">
        <f>IF(ISERROR(SUM(D97*4)/SUM(D97*4+E97*4+F97*9)),0,SUM(D97*4)/SUM(D97*4+E97*4+F97*9))</f>
        <v>0.5619771409826638</v>
      </c>
      <c r="J81" s="142" t="str">
        <f>CONCATENATE(ROUND(D97,1)," ","g")</f>
        <v>80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0.35655474688264305</v>
      </c>
      <c r="J82" s="142" t="str">
        <f>CONCATENATE(ROUND(E97,1)," ","g")</f>
        <v>50.7 g</v>
      </c>
    </row>
    <row r="83" spans="1:10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0.08146811213469328</v>
      </c>
      <c r="J83" s="142" t="str">
        <f>CONCATENATE(ROUND(F97,1)," ","g")</f>
        <v>5.2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569.216906354515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79.97172240802675</v>
      </c>
      <c r="E97" s="455">
        <f>SUM(E81:E96)</f>
        <v>50.73924749163881</v>
      </c>
      <c r="F97" s="455">
        <f>SUM(F81:F96)</f>
        <v>5.152558528428092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169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Day5</v>
      </c>
      <c r="D110" s="115" t="str">
        <f>D78</f>
        <v>Calories left to use =</v>
      </c>
      <c r="E110" s="130">
        <f>E78</f>
        <v>191.379871423263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Day5</v>
      </c>
      <c r="D142" s="115" t="str">
        <f>D110</f>
        <v>Calories left to use =</v>
      </c>
      <c r="E142" s="130">
        <f>E110</f>
        <v>191.379871423263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Day5</v>
      </c>
      <c r="D174" s="115" t="str">
        <f>D142</f>
        <v>Calories left to use =</v>
      </c>
      <c r="E174" s="130">
        <f>E142</f>
        <v>191.379871423263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97" ht="15">
      <c r="GA6997" s="19" t="s">
        <v>32</v>
      </c>
    </row>
    <row r="6998" ht="15">
      <c r="GA6998" s="19" t="s">
        <v>65</v>
      </c>
    </row>
  </sheetData>
  <sheetProtection password="D348" sheet="1" selectLockedCells="1"/>
  <mergeCells count="326">
    <mergeCell ref="A12:F12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F97:F98"/>
    <mergeCell ref="G33:G34"/>
    <mergeCell ref="G65:G66"/>
    <mergeCell ref="E53:E54"/>
    <mergeCell ref="F53:F54"/>
    <mergeCell ref="E49:E50"/>
    <mergeCell ref="F49:F50"/>
    <mergeCell ref="E51:E52"/>
    <mergeCell ref="F51:F52"/>
    <mergeCell ref="E55:E56"/>
    <mergeCell ref="C65:C66"/>
    <mergeCell ref="D65:D66"/>
    <mergeCell ref="E65:E66"/>
    <mergeCell ref="E61:E62"/>
    <mergeCell ref="E57:E58"/>
    <mergeCell ref="F65:F66"/>
    <mergeCell ref="C33:C34"/>
    <mergeCell ref="D33:D34"/>
    <mergeCell ref="E33:E34"/>
    <mergeCell ref="F33:F34"/>
    <mergeCell ref="F55:F56"/>
    <mergeCell ref="C55:C56"/>
    <mergeCell ref="D55:D56"/>
    <mergeCell ref="C53:C54"/>
    <mergeCell ref="D53:D54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D19:D20"/>
    <mergeCell ref="E19:E20"/>
    <mergeCell ref="F19:F20"/>
    <mergeCell ref="F23:F24"/>
    <mergeCell ref="D23:D24"/>
    <mergeCell ref="F21:F22"/>
    <mergeCell ref="A21:A22"/>
    <mergeCell ref="B21:B22"/>
    <mergeCell ref="C21:C22"/>
    <mergeCell ref="A23:A24"/>
    <mergeCell ref="B23:B24"/>
    <mergeCell ref="C23:C24"/>
    <mergeCell ref="B25:B26"/>
    <mergeCell ref="C25:C26"/>
    <mergeCell ref="D25:D26"/>
    <mergeCell ref="E21:E22"/>
    <mergeCell ref="D21:D22"/>
    <mergeCell ref="E23:E24"/>
    <mergeCell ref="E25:E26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A55:A56"/>
    <mergeCell ref="B55:B56"/>
    <mergeCell ref="A57:A58"/>
    <mergeCell ref="B57:B58"/>
    <mergeCell ref="C57:C58"/>
    <mergeCell ref="D57:D58"/>
    <mergeCell ref="A61:A62"/>
    <mergeCell ref="B61:B62"/>
    <mergeCell ref="C61:C62"/>
    <mergeCell ref="D61:D62"/>
    <mergeCell ref="A59:A60"/>
    <mergeCell ref="B59:B60"/>
    <mergeCell ref="C59:C60"/>
    <mergeCell ref="D59:D60"/>
    <mergeCell ref="F57:F58"/>
    <mergeCell ref="E59:E60"/>
    <mergeCell ref="F59:F60"/>
    <mergeCell ref="E63:E64"/>
    <mergeCell ref="F63:F64"/>
    <mergeCell ref="F61:F62"/>
    <mergeCell ref="A63:A64"/>
    <mergeCell ref="B63:B64"/>
    <mergeCell ref="C63:C64"/>
    <mergeCell ref="D63:D64"/>
    <mergeCell ref="A81:A82"/>
    <mergeCell ref="B81:B82"/>
    <mergeCell ref="C81:C82"/>
    <mergeCell ref="D81:D82"/>
    <mergeCell ref="E85:E86"/>
    <mergeCell ref="F85:F86"/>
    <mergeCell ref="A83:A84"/>
    <mergeCell ref="B83:B84"/>
    <mergeCell ref="C83:C84"/>
    <mergeCell ref="D83:D84"/>
    <mergeCell ref="E81:E82"/>
    <mergeCell ref="F81:F82"/>
    <mergeCell ref="E83:E84"/>
    <mergeCell ref="F83:F84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E89:E90"/>
    <mergeCell ref="E95:E96"/>
    <mergeCell ref="F89:F90"/>
    <mergeCell ref="E91:E92"/>
    <mergeCell ref="F91:F92"/>
    <mergeCell ref="E93:E94"/>
    <mergeCell ref="F93:F94"/>
    <mergeCell ref="F95:F96"/>
    <mergeCell ref="A93:A94"/>
    <mergeCell ref="B93:B94"/>
    <mergeCell ref="A95:A96"/>
    <mergeCell ref="B95:B96"/>
    <mergeCell ref="C95:C96"/>
    <mergeCell ref="D95:D96"/>
    <mergeCell ref="C93:C94"/>
    <mergeCell ref="D93:D94"/>
    <mergeCell ref="A113:A114"/>
    <mergeCell ref="B113:B114"/>
    <mergeCell ref="C113:C114"/>
    <mergeCell ref="D113:D114"/>
    <mergeCell ref="E117:E118"/>
    <mergeCell ref="F117:F118"/>
    <mergeCell ref="A115:A116"/>
    <mergeCell ref="B115:B116"/>
    <mergeCell ref="C115:C116"/>
    <mergeCell ref="D115:D116"/>
    <mergeCell ref="E113:E114"/>
    <mergeCell ref="F113:F114"/>
    <mergeCell ref="E115:E116"/>
    <mergeCell ref="F115:F116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A121:A122"/>
    <mergeCell ref="B121:B122"/>
    <mergeCell ref="C121:C122"/>
    <mergeCell ref="D121:D122"/>
    <mergeCell ref="E125:E126"/>
    <mergeCell ref="F125:F126"/>
    <mergeCell ref="A123:A124"/>
    <mergeCell ref="B123:B124"/>
    <mergeCell ref="C123:C124"/>
    <mergeCell ref="D123:D124"/>
    <mergeCell ref="E121:E122"/>
    <mergeCell ref="F121:F122"/>
    <mergeCell ref="E123:E124"/>
    <mergeCell ref="F123:F124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A145:A146"/>
    <mergeCell ref="B145:B146"/>
    <mergeCell ref="C145:C146"/>
    <mergeCell ref="D145:D146"/>
    <mergeCell ref="E145:E146"/>
    <mergeCell ref="F145:F146"/>
    <mergeCell ref="E149:E150"/>
    <mergeCell ref="F149:F150"/>
    <mergeCell ref="D149:D150"/>
    <mergeCell ref="D147:D148"/>
    <mergeCell ref="E147:E148"/>
    <mergeCell ref="F147:F148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E151:E152"/>
    <mergeCell ref="F151:F152"/>
    <mergeCell ref="E153:E154"/>
    <mergeCell ref="F153:F154"/>
    <mergeCell ref="A157:A158"/>
    <mergeCell ref="B157:B158"/>
    <mergeCell ref="A159:A160"/>
    <mergeCell ref="B159:B160"/>
    <mergeCell ref="C159:C160"/>
    <mergeCell ref="D159:D160"/>
    <mergeCell ref="C161:C162"/>
    <mergeCell ref="D161:D162"/>
    <mergeCell ref="E157:E158"/>
    <mergeCell ref="F157:F158"/>
    <mergeCell ref="C157:C158"/>
    <mergeCell ref="D157:D158"/>
    <mergeCell ref="E161:E162"/>
    <mergeCell ref="F161:F162"/>
    <mergeCell ref="E159:E160"/>
    <mergeCell ref="F159:F160"/>
    <mergeCell ref="A177:A178"/>
    <mergeCell ref="B177:B178"/>
    <mergeCell ref="C177:C178"/>
    <mergeCell ref="D177:D178"/>
    <mergeCell ref="E181:E182"/>
    <mergeCell ref="F181:F182"/>
    <mergeCell ref="A179:A180"/>
    <mergeCell ref="B179:B180"/>
    <mergeCell ref="C179:C180"/>
    <mergeCell ref="D179:D180"/>
    <mergeCell ref="E177:E178"/>
    <mergeCell ref="F177:F178"/>
    <mergeCell ref="E179:E180"/>
    <mergeCell ref="F179:F180"/>
    <mergeCell ref="E183:E184"/>
    <mergeCell ref="F183:F184"/>
    <mergeCell ref="A181:A182"/>
    <mergeCell ref="B181:B182"/>
    <mergeCell ref="A183:A184"/>
    <mergeCell ref="B183:B184"/>
    <mergeCell ref="C183:C184"/>
    <mergeCell ref="D183:D184"/>
    <mergeCell ref="C181:C182"/>
    <mergeCell ref="D181:D182"/>
    <mergeCell ref="A185:A186"/>
    <mergeCell ref="B185:B186"/>
    <mergeCell ref="C185:C186"/>
    <mergeCell ref="D185:D186"/>
    <mergeCell ref="E189:E190"/>
    <mergeCell ref="F189:F190"/>
    <mergeCell ref="A187:A188"/>
    <mergeCell ref="B187:B188"/>
    <mergeCell ref="C187:C188"/>
    <mergeCell ref="D187:D188"/>
    <mergeCell ref="A189:A190"/>
    <mergeCell ref="B189:B190"/>
    <mergeCell ref="E185:E186"/>
    <mergeCell ref="F185:F186"/>
    <mergeCell ref="E187:E188"/>
    <mergeCell ref="F187:F188"/>
    <mergeCell ref="A191:A192"/>
    <mergeCell ref="B191:B192"/>
    <mergeCell ref="B4:H4"/>
    <mergeCell ref="B3:H3"/>
    <mergeCell ref="B9:H9"/>
    <mergeCell ref="E191:E192"/>
    <mergeCell ref="F191:F192"/>
    <mergeCell ref="B8:H8"/>
    <mergeCell ref="B7:H7"/>
    <mergeCell ref="B6:H6"/>
    <mergeCell ref="B5:H5"/>
    <mergeCell ref="G193:G194"/>
    <mergeCell ref="C193:C194"/>
    <mergeCell ref="D193:D194"/>
    <mergeCell ref="E193:E194"/>
    <mergeCell ref="F193:F194"/>
    <mergeCell ref="C191:C192"/>
    <mergeCell ref="D191:D192"/>
    <mergeCell ref="C189:C190"/>
    <mergeCell ref="D189:D190"/>
  </mergeCells>
  <conditionalFormatting sqref="B3:B9">
    <cfRule type="expression" priority="1" dxfId="15" stopIfTrue="1">
      <formula>$L$3="Yes"</formula>
    </cfRule>
  </conditionalFormatting>
  <conditionalFormatting sqref="B11">
    <cfRule type="expression" priority="2" dxfId="15" stopIfTrue="1">
      <formula>#REF!="Yes"</formula>
    </cfRule>
  </conditionalFormatting>
  <conditionalFormatting sqref="I11">
    <cfRule type="expression" priority="3" dxfId="16" stopIfTrue="1">
      <formula>$J$2="Fast Day"</formula>
    </cfRule>
    <cfRule type="expression" priority="4" dxfId="16" stopIfTrue="1">
      <formula>$J$2="Cheat Day"</formula>
    </cfRule>
    <cfRule type="expression" priority="5" dxfId="15" stopIfTrue="1">
      <formula>$J$2="Depletion Day"</formula>
    </cfRule>
  </conditionalFormatting>
  <conditionalFormatting sqref="H11">
    <cfRule type="expression" priority="6" dxfId="16" stopIfTrue="1">
      <formula>$J$2="Cheat Day"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7" location="FastD" display="FastD"/>
    <hyperlink ref="I6" location="FastEE" display="FastEE"/>
    <hyperlink ref="I5" location="FastL" display="FastL"/>
    <hyperlink ref="I4" location="FastMM" display="FastMM"/>
    <hyperlink ref="I3" location="FastB" display="FastB"/>
    <hyperlink ref="I8" location="Bed3" display="Pre Bed"/>
    <hyperlink ref="B1" location="Three" display="DATABASE REFERENC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:IV12 I3:I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GA6998"/>
  <sheetViews>
    <sheetView showGridLines="0" showRowColHeaders="0" showZeros="0" showOutlineSymbols="0" zoomScale="95" zoomScaleNormal="95" workbookViewId="0" topLeftCell="A1">
      <pane ySplit="12" topLeftCell="BM14" activePane="bottomLeft" state="frozen"/>
      <selection pane="topLeft" activeCell="A1" sqref="A1"/>
      <selection pane="bottomLeft" activeCell="C29" sqref="C29:C30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100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Database'!B184," - ",'Food Database'!C184," / ",'Food Database'!B185," - ",'Food Database'!C185," / ",'Food Database'!B186," - ",'Food Database'!C186," / ",'Food Database'!B187," - ",'Food Database'!C187," / ",'Food Database'!B188," - ",'Food Database'!C188)</f>
        <v>176 - Apple / 177 - Baked Potato / 178 - Banana / 179 - Beans (reduced salt) / 180 -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42.46</v>
      </c>
      <c r="K3" s="124">
        <f>E33</f>
        <v>33.445</v>
      </c>
      <c r="L3" s="124">
        <f>F33</f>
        <v>29.339999999999996</v>
      </c>
      <c r="M3" s="124">
        <f>I20</f>
        <v>567.68</v>
      </c>
    </row>
    <row r="4" spans="2:13" ht="15">
      <c r="B4" s="451" t="str">
        <f>CONCATENATE('Food Database'!B189," - ",'Food Database'!C189," / ",'Food Database'!B190," - ",'Food Database'!C190," / ",'Food Database'!B191," - ",'Food Database'!C191," / ",'Food Database'!B192," - ",'Food Database'!C192," / ",'Food Database'!B193," - ",'Food Database'!C193)</f>
        <v>181 - Chicken breast (raw) / 182 - Diced Onion / 183 - Egg 56g / 184 - GF Pasta / 185 -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Database'!B194," - ",'Food Database'!C194," / ",'Food Database'!B195," - ",'Food Database'!C195," / ",'Food Database'!B196," - ",'Food Database'!C196," / ",'Food Database'!B197," - ",'Food Database'!C197," / ",'Food Database'!B198," - ",'Food Database'!C198)</f>
        <v>186 - Lactose Free Milk Semi / 187 - Mccains oven chips (frozen) / 188 - Micellar Caseine (IronS) / 189 - Minus 1 Egg Yolk / 190 -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68.42672240802675</v>
      </c>
      <c r="K5" s="124">
        <f>E97</f>
        <v>50.73924749163881</v>
      </c>
      <c r="L5" s="124">
        <f>F97</f>
        <v>4.532558528428094</v>
      </c>
      <c r="M5" s="124">
        <f>I84</f>
        <v>517.456906354515</v>
      </c>
    </row>
    <row r="6" spans="2:13" ht="15">
      <c r="B6" s="451" t="str">
        <f>CONCATENATE('Food Database'!B199," - ",'Food Database'!C199," / ",'Food Database'!B200," - ",'Food Database'!C200," / ",'Food Database'!B201," - ",'Food Database'!C201," / ",'Food Database'!B202," - ",'Food Database'!C202," / ",'Food Database'!B203," - ",'Food Database'!C203)</f>
        <v>191 - Oats / 192 - Organic Crunchy PB / 193 - Peanut Butter / 194 - Peas / 195 -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Database'!B204," - ",'Food Database'!C204," / ",'Food Database'!B205," - ",'Food Database'!C205," / ",'Food Database'!B206," - ",'Food Database'!C206," / ",'Food Database'!B207," - ",'Food Database'!C207," / ",'Food Database'!B208," - ",'Food Database'!C208)</f>
        <v>196 - Rapeseed Oil / 197 - Rice (uncooked weight) / 198 - Rump Steak / 199 - Grated cheese light / 200 -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Database'!B209," - ",'Food Database'!C209," / ",'Food Database'!B210," - ",'Food Database'!C210," / ",'Food Database'!B211," - ",'Food Database'!C211," / ",'Food Database'!B212," - ",'Food Database'!C212," / ",'Food Database'!B213," - ",'Food Database'!C213)</f>
        <v>201 - organic honey / 202 - Tomato sauce / 203 - Dried Mixed Fruit / 204 - Broccoli, Boiled / 205 - </v>
      </c>
      <c r="C8" s="451"/>
      <c r="D8" s="451"/>
      <c r="E8" s="451"/>
      <c r="F8" s="451"/>
      <c r="G8" s="451"/>
      <c r="H8" s="451"/>
      <c r="I8" s="152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Database'!B214," - ",'Food Database'!C214," / ",'Food Database'!B215," - ",'Food Database'!C215," / ",'Food Database'!B216," - ",'Food Database'!C216," / ",'Food Database'!B217," - ",'Food Database'!C217," / ",'Food Database'!B218," - ",'Food Database'!C218)</f>
        <v>206 -  / 207 -  / 208 -  / 209 -  / 210 -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204.23461129691563</v>
      </c>
      <c r="K9" s="136">
        <f>SUM(K3:K8)</f>
        <v>211.43091415830546</v>
      </c>
      <c r="L9" s="136">
        <f>SUM(L3:L8)</f>
        <v>66.02200297287254</v>
      </c>
      <c r="M9" s="136">
        <f>SUM(M3:M8)</f>
        <v>2256.860128576737</v>
      </c>
    </row>
    <row r="10" spans="9:13" ht="15.75">
      <c r="I10" s="116"/>
      <c r="J10" s="135">
        <f>IF(ISERROR(SUM(J9*4)/SUM($J$9*4+$K$9*4+$L$9*9)),"0",(J9*4)/SUM(J9*4+K9*4+L9*9))</f>
        <v>0.3619800956397131</v>
      </c>
      <c r="K10" s="135">
        <f>IF(ISERROR(SUM(K9*4)/SUM($J$9*4+$K$9*4+$L$9*9)),"0",(K9*4)/SUM(J9*4+K9*4+L9*9))</f>
        <v>0.3747346350465094</v>
      </c>
      <c r="L10" s="135">
        <f>IF(ISERROR(SUM(L9*9)/SUM($J$9*4+$K$9*4+$L$9*9)),"0",(L9*9)/SUM(J9*4+K9*4+L9*9))</f>
        <v>0.26328526931377755</v>
      </c>
      <c r="M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Day6</v>
      </c>
      <c r="D14" s="115" t="s">
        <v>46</v>
      </c>
      <c r="E14" s="130">
        <f>Totals!E5-M9</f>
        <v>243.13987142326278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0.29918263810597523</v>
      </c>
      <c r="J17" s="142" t="str">
        <f>CONCATENATE(ROUND(D33,1)," ","g")</f>
        <v>42.5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0.2356609357384442</v>
      </c>
      <c r="J18" s="142" t="str">
        <f>CONCATENATE(ROUND(E33,1)," ","g")</f>
        <v>33.4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">
      <c r="A19" s="449"/>
      <c r="B19" s="450" t="str">
        <f>B38</f>
        <v>Egg 56g</v>
      </c>
      <c r="C19" s="458">
        <v>3</v>
      </c>
      <c r="D19" s="457">
        <f>SUM(C19*(D38/C38))</f>
        <v>21.84</v>
      </c>
      <c r="E19" s="457">
        <f>SUM(C19*(E38/C38))</f>
        <v>1.6800000000000002</v>
      </c>
      <c r="F19" s="457">
        <f>SUM(C19*(F38/C38))</f>
        <v>16.799999999999997</v>
      </c>
      <c r="H19" s="35" t="s">
        <v>72</v>
      </c>
      <c r="I19" s="25">
        <f>IF(ISERROR(SUM(F33*9)/SUM(D33*4+E33*4+F33*9)),0,SUM(F33*9)/SUM(D33*4+E33*4+F33*9))</f>
        <v>0.46515642615558056</v>
      </c>
      <c r="J19" s="142" t="str">
        <f>CONCATENATE(ROUND(F33,1)," ","g")</f>
        <v>29.3 g</v>
      </c>
      <c r="K19" s="120"/>
      <c r="L19" s="120"/>
      <c r="M19" s="120"/>
      <c r="N19" s="120"/>
      <c r="O19" s="120"/>
      <c r="P19" s="120"/>
      <c r="Q19" s="120"/>
    </row>
    <row r="20" spans="1:21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567.68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Diced Onion</v>
      </c>
      <c r="C27" s="458">
        <v>50</v>
      </c>
      <c r="D27" s="457">
        <f>SUM(C27*(D42/C42))</f>
        <v>0.6</v>
      </c>
      <c r="E27" s="457">
        <f>SUM(C27*(E42/C42))</f>
        <v>3.95</v>
      </c>
      <c r="F27" s="457">
        <f>SUM(C27*(F42/C42))</f>
        <v>0.1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>
        <f>B43</f>
        <v>0</v>
      </c>
      <c r="C29" s="458"/>
      <c r="D29" s="457">
        <f>SUM(C29*(D43/C43))</f>
        <v>0</v>
      </c>
      <c r="E29" s="457">
        <f>SUM(C29*(E43/C43))</f>
        <v>0</v>
      </c>
      <c r="F29" s="457">
        <f>SUM(C29*(F43/C43))</f>
        <v>0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42.46</v>
      </c>
      <c r="E33" s="455">
        <f>SUM(E17:E32)</f>
        <v>33.445</v>
      </c>
      <c r="F33" s="455">
        <f>SUM(F17:F32)</f>
        <v>29.339999999999996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9</v>
      </c>
      <c r="B42" s="28" t="str">
        <f>VLOOKUP(A:A,'Food Database'!B:C,2,FALSE)</f>
        <v>Diced Onion</v>
      </c>
      <c r="C42" s="24">
        <f>VLOOKUP(A:A,'Food Database'!B:E,4,FALSE)</f>
        <v>100</v>
      </c>
      <c r="D42" s="29">
        <f>VLOOKUP(A:A,'Food Database'!B:F,5,FALSE)</f>
        <v>1.2</v>
      </c>
      <c r="E42" s="29">
        <f>VLOOKUP(A:A,'Food Database'!B:G,6,FALSE)</f>
        <v>7.9</v>
      </c>
      <c r="F42" s="29">
        <f>VLOOKUP(A:A,'Food Database'!B:H,7,FALSE)</f>
        <v>0.2</v>
      </c>
      <c r="H42" s="24" t="str">
        <f>VLOOKUP(A:A,'Food Database'!B:H,3,FALSE)</f>
        <v>Grams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/>
      <c r="B43" s="28">
        <f>VLOOKUP(A:A,'Food Database'!B:C,2,FALSE)</f>
        <v>0</v>
      </c>
      <c r="C43" s="24">
        <f>VLOOKUP(A:A,'Food Database'!B:E,4,FALSE)</f>
        <v>100</v>
      </c>
      <c r="D43" s="29">
        <f>VLOOKUP(A:A,'Food Database'!B:F,5,FALSE)</f>
        <v>0</v>
      </c>
      <c r="E43" s="29">
        <f>VLOOKUP(A:A,'Food Database'!B:G,6,FALSE)</f>
        <v>0</v>
      </c>
      <c r="F43" s="29">
        <f>VLOOKUP(A:A,'Food Database'!B:H,7,FALSE)</f>
        <v>0</v>
      </c>
      <c r="H43" s="24">
        <f>VLOOKUP(A:A,'Food Database'!B:H,3,FALSE)</f>
        <v>0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Day6</v>
      </c>
      <c r="D46" s="115" t="str">
        <f>D14</f>
        <v>Calories left to use =</v>
      </c>
      <c r="E46" s="130">
        <f>E14</f>
        <v>243.13987142326278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Day6</v>
      </c>
      <c r="D78" s="115" t="str">
        <f>D46</f>
        <v>Calories left to use =</v>
      </c>
      <c r="E78" s="130">
        <f>E46</f>
        <v>243.13987142326278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Chicken breast (raw)</v>
      </c>
      <c r="C81" s="461">
        <v>250</v>
      </c>
      <c r="D81" s="455">
        <f>SUM(C81*(D101/C101))</f>
        <v>57.725</v>
      </c>
      <c r="E81" s="455">
        <f>SUM(C81*(E101/C101))</f>
        <v>0</v>
      </c>
      <c r="F81" s="455">
        <f>SUM(C81*(F101/C101))</f>
        <v>3.1</v>
      </c>
      <c r="H81" s="35" t="s">
        <v>70</v>
      </c>
      <c r="I81" s="25">
        <f>IF(ISERROR(SUM(D97*4)/SUM(D97*4+E97*4+F97*9)),0,SUM(D97*4)/SUM(D97*4+E97*4+F97*9))</f>
        <v>0.5289462489937038</v>
      </c>
      <c r="J81" s="142" t="str">
        <f>CONCATENATE(ROUND(D97,1)," ","g")</f>
        <v>68.4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0.3922200814680157</v>
      </c>
      <c r="J82" s="142" t="str">
        <f>CONCATENATE(ROUND(E97,1)," ","g")</f>
        <v>50.7 g</v>
      </c>
    </row>
    <row r="83" spans="1:10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0.07883366953828061</v>
      </c>
      <c r="J83" s="142" t="str">
        <f>CONCATENATE(ROUND(F97,1)," ","g")</f>
        <v>4.5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517.456906354515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68.42672240802675</v>
      </c>
      <c r="E97" s="455">
        <f>SUM(E81:E96)</f>
        <v>50.73924749163881</v>
      </c>
      <c r="F97" s="455">
        <f>SUM(F81:F96)</f>
        <v>4.532558528428094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204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Day6</v>
      </c>
      <c r="D110" s="115" t="str">
        <f>D78</f>
        <v>Calories left to use =</v>
      </c>
      <c r="E110" s="130">
        <f>E78</f>
        <v>243.13987142326278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Day6</v>
      </c>
      <c r="D142" s="115" t="str">
        <f>D110</f>
        <v>Calories left to use =</v>
      </c>
      <c r="E142" s="130">
        <f>E110</f>
        <v>243.13987142326278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Day6</v>
      </c>
      <c r="D174" s="115" t="str">
        <f>D142</f>
        <v>Calories left to use =</v>
      </c>
      <c r="E174" s="130">
        <f>E142</f>
        <v>243.13987142326278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97" ht="15">
      <c r="GA6997" s="19" t="s">
        <v>32</v>
      </c>
    </row>
    <row r="6998" ht="15">
      <c r="GA6998" s="19" t="s">
        <v>65</v>
      </c>
    </row>
  </sheetData>
  <sheetProtection password="D348" sheet="1" selectLockedCells="1"/>
  <mergeCells count="326">
    <mergeCell ref="A12:F12"/>
    <mergeCell ref="E159:E160"/>
    <mergeCell ref="F159:F160"/>
    <mergeCell ref="C161:C162"/>
    <mergeCell ref="D161:D162"/>
    <mergeCell ref="E161:E162"/>
    <mergeCell ref="F161:F162"/>
    <mergeCell ref="A159:A160"/>
    <mergeCell ref="B159:B160"/>
    <mergeCell ref="C159:C160"/>
    <mergeCell ref="D159:D160"/>
    <mergeCell ref="E157:E158"/>
    <mergeCell ref="F157:F158"/>
    <mergeCell ref="A155:A156"/>
    <mergeCell ref="B155:B156"/>
    <mergeCell ref="A157:A158"/>
    <mergeCell ref="B157:B158"/>
    <mergeCell ref="C157:C158"/>
    <mergeCell ref="D157:D158"/>
    <mergeCell ref="C155:C156"/>
    <mergeCell ref="D155:D156"/>
    <mergeCell ref="E151:E152"/>
    <mergeCell ref="F151:F152"/>
    <mergeCell ref="E153:E154"/>
    <mergeCell ref="F153:F154"/>
    <mergeCell ref="E155:E156"/>
    <mergeCell ref="F155:F156"/>
    <mergeCell ref="A153:A154"/>
    <mergeCell ref="B153:B154"/>
    <mergeCell ref="C153:C154"/>
    <mergeCell ref="D153:D154"/>
    <mergeCell ref="A151:A152"/>
    <mergeCell ref="B151:B152"/>
    <mergeCell ref="C151:C152"/>
    <mergeCell ref="D151:D152"/>
    <mergeCell ref="A147:A148"/>
    <mergeCell ref="B147:B148"/>
    <mergeCell ref="C147:C148"/>
    <mergeCell ref="A149:A150"/>
    <mergeCell ref="B149:B150"/>
    <mergeCell ref="C149:C150"/>
    <mergeCell ref="D149:D150"/>
    <mergeCell ref="D147:D148"/>
    <mergeCell ref="E147:E148"/>
    <mergeCell ref="F147:F148"/>
    <mergeCell ref="E145:E146"/>
    <mergeCell ref="F145:F146"/>
    <mergeCell ref="E149:E150"/>
    <mergeCell ref="F149:F150"/>
    <mergeCell ref="A145:A146"/>
    <mergeCell ref="B145:B146"/>
    <mergeCell ref="C145:C146"/>
    <mergeCell ref="D145:D146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E121:E122"/>
    <mergeCell ref="F121:F122"/>
    <mergeCell ref="E123:E124"/>
    <mergeCell ref="F123:F124"/>
    <mergeCell ref="E125:E126"/>
    <mergeCell ref="F125:F126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E113:E114"/>
    <mergeCell ref="F113:F114"/>
    <mergeCell ref="E115:E116"/>
    <mergeCell ref="F115:F116"/>
    <mergeCell ref="E117:E118"/>
    <mergeCell ref="F117:F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C95:C96"/>
    <mergeCell ref="D95:D96"/>
    <mergeCell ref="C93:C94"/>
    <mergeCell ref="D93:D94"/>
    <mergeCell ref="A93:A94"/>
    <mergeCell ref="B93:B94"/>
    <mergeCell ref="A95:A96"/>
    <mergeCell ref="B95:B96"/>
    <mergeCell ref="E89:E90"/>
    <mergeCell ref="E95:E96"/>
    <mergeCell ref="F89:F90"/>
    <mergeCell ref="E91:E92"/>
    <mergeCell ref="F91:F92"/>
    <mergeCell ref="E93:E94"/>
    <mergeCell ref="F93:F94"/>
    <mergeCell ref="F95:F96"/>
    <mergeCell ref="A91:A92"/>
    <mergeCell ref="B91:B92"/>
    <mergeCell ref="C91:C92"/>
    <mergeCell ref="D91:D92"/>
    <mergeCell ref="A89:A90"/>
    <mergeCell ref="B89:B90"/>
    <mergeCell ref="C89:C90"/>
    <mergeCell ref="D89:D90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E81:E82"/>
    <mergeCell ref="F81:F82"/>
    <mergeCell ref="E83:E84"/>
    <mergeCell ref="F83:F84"/>
    <mergeCell ref="E85:E86"/>
    <mergeCell ref="F85:F86"/>
    <mergeCell ref="A83:A84"/>
    <mergeCell ref="B83:B84"/>
    <mergeCell ref="C83:C84"/>
    <mergeCell ref="D83:D84"/>
    <mergeCell ref="A81:A82"/>
    <mergeCell ref="B81:B82"/>
    <mergeCell ref="C81:C82"/>
    <mergeCell ref="D81:D82"/>
    <mergeCell ref="E63:E64"/>
    <mergeCell ref="F63:F64"/>
    <mergeCell ref="A61:A62"/>
    <mergeCell ref="B61:B62"/>
    <mergeCell ref="A63:A64"/>
    <mergeCell ref="B63:B64"/>
    <mergeCell ref="C63:C64"/>
    <mergeCell ref="D63:D64"/>
    <mergeCell ref="C61:C62"/>
    <mergeCell ref="D61:D62"/>
    <mergeCell ref="E57:E58"/>
    <mergeCell ref="F57:F58"/>
    <mergeCell ref="E59:E60"/>
    <mergeCell ref="F59:F60"/>
    <mergeCell ref="E61:E62"/>
    <mergeCell ref="F61:F62"/>
    <mergeCell ref="A59:A60"/>
    <mergeCell ref="B59:B60"/>
    <mergeCell ref="C59:C60"/>
    <mergeCell ref="D59:D60"/>
    <mergeCell ref="A57:A58"/>
    <mergeCell ref="B57:B58"/>
    <mergeCell ref="C57:C58"/>
    <mergeCell ref="D57:D58"/>
    <mergeCell ref="E55:E56"/>
    <mergeCell ref="F55:F56"/>
    <mergeCell ref="A53:A54"/>
    <mergeCell ref="B53:B54"/>
    <mergeCell ref="A55:A56"/>
    <mergeCell ref="B55:B56"/>
    <mergeCell ref="C55:C56"/>
    <mergeCell ref="D55:D56"/>
    <mergeCell ref="C53:C54"/>
    <mergeCell ref="D53:D54"/>
    <mergeCell ref="E49:E50"/>
    <mergeCell ref="F49:F50"/>
    <mergeCell ref="E51:E52"/>
    <mergeCell ref="F51:F52"/>
    <mergeCell ref="E53:E54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1:E22"/>
    <mergeCell ref="D21:D22"/>
    <mergeCell ref="E23:E24"/>
    <mergeCell ref="E25:E26"/>
    <mergeCell ref="A21:A22"/>
    <mergeCell ref="B21:B22"/>
    <mergeCell ref="C21:C22"/>
    <mergeCell ref="A23:A24"/>
    <mergeCell ref="B23:B24"/>
    <mergeCell ref="C23:C24"/>
    <mergeCell ref="D19:D20"/>
    <mergeCell ref="E19:E20"/>
    <mergeCell ref="F19:F20"/>
    <mergeCell ref="F23:F24"/>
    <mergeCell ref="D23:D24"/>
    <mergeCell ref="F21:F22"/>
    <mergeCell ref="F33:F34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F97:F98"/>
    <mergeCell ref="G33:G34"/>
    <mergeCell ref="C65:C66"/>
    <mergeCell ref="D65:D66"/>
    <mergeCell ref="E65:E66"/>
    <mergeCell ref="F65:F66"/>
    <mergeCell ref="G65:G66"/>
    <mergeCell ref="C33:C34"/>
    <mergeCell ref="D33:D34"/>
    <mergeCell ref="E33:E34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D179:D180"/>
    <mergeCell ref="E179:E180"/>
    <mergeCell ref="C181:C182"/>
    <mergeCell ref="D181:D182"/>
    <mergeCell ref="E181:E182"/>
    <mergeCell ref="D193:D194"/>
    <mergeCell ref="E193:E194"/>
    <mergeCell ref="F193:F194"/>
    <mergeCell ref="A189:A190"/>
    <mergeCell ref="B189:B190"/>
    <mergeCell ref="C189:C190"/>
    <mergeCell ref="D189:D190"/>
    <mergeCell ref="E177:E178"/>
    <mergeCell ref="F177:F178"/>
    <mergeCell ref="A179:A180"/>
    <mergeCell ref="B179:B180"/>
    <mergeCell ref="C179:C180"/>
    <mergeCell ref="F179:F180"/>
    <mergeCell ref="A177:A178"/>
    <mergeCell ref="B177:B178"/>
    <mergeCell ref="C177:C178"/>
    <mergeCell ref="D177:D178"/>
    <mergeCell ref="F181:F182"/>
    <mergeCell ref="A183:A184"/>
    <mergeCell ref="B183:B184"/>
    <mergeCell ref="C183:C184"/>
    <mergeCell ref="D183:D184"/>
    <mergeCell ref="E183:E184"/>
    <mergeCell ref="F183:F184"/>
    <mergeCell ref="A181:A182"/>
    <mergeCell ref="B181:B182"/>
    <mergeCell ref="E187:E188"/>
    <mergeCell ref="F187:F188"/>
    <mergeCell ref="A185:A186"/>
    <mergeCell ref="B185:B186"/>
    <mergeCell ref="C185:C186"/>
    <mergeCell ref="D185:D186"/>
    <mergeCell ref="E185:E186"/>
    <mergeCell ref="A187:A188"/>
    <mergeCell ref="B187:B188"/>
    <mergeCell ref="C187:C188"/>
    <mergeCell ref="D187:D188"/>
    <mergeCell ref="A191:A192"/>
    <mergeCell ref="B191:B192"/>
    <mergeCell ref="C191:C192"/>
    <mergeCell ref="D191:D192"/>
    <mergeCell ref="B4:H4"/>
    <mergeCell ref="B3:H3"/>
    <mergeCell ref="B9:H9"/>
    <mergeCell ref="G193:G194"/>
    <mergeCell ref="E189:E190"/>
    <mergeCell ref="F189:F190"/>
    <mergeCell ref="E191:E192"/>
    <mergeCell ref="F191:F192"/>
    <mergeCell ref="C193:C194"/>
    <mergeCell ref="F185:F186"/>
    <mergeCell ref="B8:H8"/>
    <mergeCell ref="B7:H7"/>
    <mergeCell ref="B6:H6"/>
    <mergeCell ref="B5:H5"/>
  </mergeCells>
  <conditionalFormatting sqref="B3:B9">
    <cfRule type="expression" priority="1" dxfId="15" stopIfTrue="1">
      <formula>$L$3="Yes"</formula>
    </cfRule>
  </conditionalFormatting>
  <conditionalFormatting sqref="B11">
    <cfRule type="expression" priority="2" dxfId="15" stopIfTrue="1">
      <formula>#REF!="Yes"</formula>
    </cfRule>
  </conditionalFormatting>
  <conditionalFormatting sqref="I11">
    <cfRule type="expression" priority="3" dxfId="16" stopIfTrue="1">
      <formula>$J$2="Fast Day"</formula>
    </cfRule>
    <cfRule type="expression" priority="4" dxfId="16" stopIfTrue="1">
      <formula>$J$2="Cheat Day"</formula>
    </cfRule>
    <cfRule type="expression" priority="5" dxfId="15" stopIfTrue="1">
      <formula>$J$2="Depletion Day"</formula>
    </cfRule>
  </conditionalFormatting>
  <conditionalFormatting sqref="H11">
    <cfRule type="expression" priority="6" dxfId="16" stopIfTrue="1">
      <formula>$J$2="Cheat Day"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3" location="DepletionB" display="DepletionB"/>
    <hyperlink ref="I4" location="DepletionMM" display="DepletionMM"/>
    <hyperlink ref="I5" location="DepletionL" display="DepletionL"/>
    <hyperlink ref="I6" location="DepletionEE" display="DepletionEE"/>
    <hyperlink ref="I7" location="DepletionD" display="DepletionD"/>
    <hyperlink ref="I8" location="bed7" display="Pre Bed"/>
    <hyperlink ref="B1" location="Seven" display="DATABASE REFERENC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 I3:I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A6998"/>
  <sheetViews>
    <sheetView showGridLines="0" showRowColHeaders="0" showZeros="0" showOutlineSymbols="0" zoomScale="95" zoomScaleNormal="95" workbookViewId="0" topLeftCell="A1">
      <pane ySplit="12" topLeftCell="BM13" activePane="bottomLeft" state="frozen"/>
      <selection pane="topLeft" activeCell="A1" sqref="A1"/>
      <selection pane="bottomLeft" activeCell="C29" sqref="C29:C30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100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Database'!B220," - ",'Food Database'!C220," / ",'Food Database'!B221," - ",'Food Database'!C221," / ",'Food Database'!B222," - ",'Food Database'!C222," / ",'Food Database'!B223," - ",'Food Database'!C223," / ",'Food Database'!B224," - ",'Food Database'!C224)</f>
        <v>211 - Apple / 212 - Baked Potato / 213 - Banana / 214 - Beans (reduced salt) / 215 -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42.46</v>
      </c>
      <c r="K3" s="124">
        <f>E33</f>
        <v>33.445</v>
      </c>
      <c r="L3" s="124">
        <f>F33</f>
        <v>29.339999999999996</v>
      </c>
      <c r="M3" s="124">
        <f>I20</f>
        <v>567.68</v>
      </c>
    </row>
    <row r="4" spans="2:13" ht="15">
      <c r="B4" s="451" t="str">
        <f>CONCATENATE('Food Database'!B225," - ",'Food Database'!C225," / ",'Food Database'!B226," - ",'Food Database'!C226," / ",'Food Database'!B227," - ",'Food Database'!C227," / ",'Food Database'!B228," - ",'Food Database'!C228," / ",'Food Database'!B229," - ",'Food Database'!C229)</f>
        <v>216 - Chicken breast (raw) / 217 - Diced Onion / 218 - Egg 56g / 219 - GF Pasta / 220 -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Database'!B230," - ",'Food Database'!C230," / ",'Food Database'!B231," - ",'Food Database'!C231," / ",'Food Database'!B232," - ",'Food Database'!C232," / ",'Food Database'!B233," - ",'Food Database'!C233," / ",'Food Database'!B234," - ",'Food Database'!C234)</f>
        <v>221 - Lactose Free Milk Semi / 222 - Mccains oven chips (frozen) / 223 - Micellar Caseine (IronS) / 224 - Minus 1 Egg Yolk / 225 -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68.42672240802675</v>
      </c>
      <c r="K5" s="124">
        <f>E97</f>
        <v>50.73924749163881</v>
      </c>
      <c r="L5" s="124">
        <f>F97</f>
        <v>4.532558528428094</v>
      </c>
      <c r="M5" s="124">
        <f>I84</f>
        <v>517.456906354515</v>
      </c>
    </row>
    <row r="6" spans="2:13" ht="15">
      <c r="B6" s="451" t="str">
        <f>CONCATENATE('Food Database'!B235," - ",'Food Database'!C235," / ",'Food Database'!B236," - ",'Food Database'!C236," / ",'Food Database'!B237," - ",'Food Database'!C237," / ",'Food Database'!B238," - ",'Food Database'!C238," / ",'Food Database'!B239," - ",'Food Database'!C239)</f>
        <v>226 - Oats / 227 - Organic Crunchy PB / 228 - Peanut Butter / 229 - Peas / 230 -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Database'!B240," - ",'Food Database'!C240," / ",'Food Database'!B241," - ",'Food Database'!C241," / ",'Food Database'!B242," - ",'Food Database'!C242," / ",'Food Database'!B243," - ",'Food Database'!C243," / ",'Food Database'!B244," - ",'Food Database'!C244)</f>
        <v>231 - Rapeseed Oil / 232 - Rice (uncooked weight) / 233 - Rump Steak / 234 - Grated cheese light / 235 -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Database'!B245," - ",'Food Database'!C245," / ",'Food Database'!B246," - ",'Food Database'!C246," / ",'Food Database'!B247," - ",'Food Database'!C247," / ",'Food Database'!B248," - ",'Food Database'!C248," / ",'Food Database'!B249," - ",'Food Database'!C249)</f>
        <v>236 - organic honey / 237 - Tomato sauce / 238 - Dried Mixed Fruit / 239 - Broccoli, Boiled / 240 - </v>
      </c>
      <c r="C8" s="451"/>
      <c r="D8" s="451"/>
      <c r="E8" s="451"/>
      <c r="F8" s="451"/>
      <c r="G8" s="451"/>
      <c r="H8" s="451"/>
      <c r="I8" s="152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Database'!B250," - ",'Food Database'!C250," / ",'Food Database'!B251," - ",'Food Database'!C251," / ",'Food Database'!B252," - ",'Food Database'!C252," / ",'Food Database'!B253," - ",'Food Database'!C253," / ",'Food Database'!B254," - ",'Food Database'!C254)</f>
        <v>241 -  / 242 -  / 243 -  / 244 -  / 245 -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204.23461129691563</v>
      </c>
      <c r="K9" s="136">
        <f>SUM(K3:K8)</f>
        <v>211.43091415830546</v>
      </c>
      <c r="L9" s="136">
        <f>SUM(L3:L8)</f>
        <v>66.02200297287254</v>
      </c>
      <c r="M9" s="136">
        <f>SUM(M3:M8)</f>
        <v>2256.860128576737</v>
      </c>
    </row>
    <row r="10" spans="9:13" ht="15.75">
      <c r="I10" s="116"/>
      <c r="J10" s="135">
        <f>IF(ISERROR(SUM(J9*4)/SUM($J$9*4+$K$9*4+$L$9*9)),"0",(J9*4)/SUM(J9*4+K9*4+L9*9))</f>
        <v>0.3619800956397131</v>
      </c>
      <c r="K10" s="135">
        <f>IF(ISERROR(SUM(K9*4)/SUM($J$9*4+$K$9*4+$L$9*9)),"0",(K9*4)/SUM(J9*4+K9*4+L9*9))</f>
        <v>0.3747346350465094</v>
      </c>
      <c r="L10" s="135">
        <f>IF(ISERROR(SUM(L9*9)/SUM($J$9*4+$K$9*4+$L$9*9)),"0",(L9*9)/SUM(J9*4+K9*4+L9*9))</f>
        <v>0.26328526931377755</v>
      </c>
      <c r="M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Day7</v>
      </c>
      <c r="D14" s="115" t="s">
        <v>46</v>
      </c>
      <c r="E14" s="130">
        <f>Totals!E5-M9</f>
        <v>243.13987142326278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0.29918263810597523</v>
      </c>
      <c r="J17" s="142" t="str">
        <f>CONCATENATE(ROUND(D33,1)," ","g")</f>
        <v>42.5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0.2356609357384442</v>
      </c>
      <c r="J18" s="142" t="str">
        <f>CONCATENATE(ROUND(E33,1)," ","g")</f>
        <v>33.4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">
      <c r="A19" s="449"/>
      <c r="B19" s="450" t="str">
        <f>B38</f>
        <v>Egg 56g</v>
      </c>
      <c r="C19" s="458">
        <v>3</v>
      </c>
      <c r="D19" s="457">
        <f>SUM(C19*(D38/C38))</f>
        <v>21.84</v>
      </c>
      <c r="E19" s="457">
        <f>SUM(C19*(E38/C38))</f>
        <v>1.6800000000000002</v>
      </c>
      <c r="F19" s="457">
        <f>SUM(C19*(F38/C38))</f>
        <v>16.799999999999997</v>
      </c>
      <c r="H19" s="35" t="s">
        <v>72</v>
      </c>
      <c r="I19" s="25">
        <f>IF(ISERROR(SUM(F33*9)/SUM(D33*4+E33*4+F33*9)),0,SUM(F33*9)/SUM(D33*4+E33*4+F33*9))</f>
        <v>0.46515642615558056</v>
      </c>
      <c r="J19" s="142" t="str">
        <f>CONCATENATE(ROUND(F33,1)," ","g")</f>
        <v>29.3 g</v>
      </c>
      <c r="K19" s="120"/>
      <c r="L19" s="120"/>
      <c r="M19" s="120"/>
      <c r="N19" s="120"/>
      <c r="O19" s="120"/>
      <c r="P19" s="120"/>
      <c r="Q19" s="120"/>
    </row>
    <row r="20" spans="1:21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567.68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Diced Onion</v>
      </c>
      <c r="C27" s="458">
        <v>50</v>
      </c>
      <c r="D27" s="457">
        <f>SUM(C27*(D42/C42))</f>
        <v>0.6</v>
      </c>
      <c r="E27" s="457">
        <f>SUM(C27*(E42/C42))</f>
        <v>3.95</v>
      </c>
      <c r="F27" s="457">
        <f>SUM(C27*(F42/C42))</f>
        <v>0.1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>
        <f>B43</f>
        <v>0</v>
      </c>
      <c r="C29" s="458"/>
      <c r="D29" s="457">
        <f>SUM(C29*(D43/C43))</f>
        <v>0</v>
      </c>
      <c r="E29" s="457">
        <f>SUM(C29*(E43/C43))</f>
        <v>0</v>
      </c>
      <c r="F29" s="457">
        <f>SUM(C29*(F43/C43))</f>
        <v>0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42.46</v>
      </c>
      <c r="E33" s="455">
        <f>SUM(E17:E32)</f>
        <v>33.445</v>
      </c>
      <c r="F33" s="455">
        <f>SUM(F17:F32)</f>
        <v>29.339999999999996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9</v>
      </c>
      <c r="B42" s="28" t="str">
        <f>VLOOKUP(A:A,'Food Database'!B:C,2,FALSE)</f>
        <v>Diced Onion</v>
      </c>
      <c r="C42" s="24">
        <f>VLOOKUP(A:A,'Food Database'!B:E,4,FALSE)</f>
        <v>100</v>
      </c>
      <c r="D42" s="29">
        <f>VLOOKUP(A:A,'Food Database'!B:F,5,FALSE)</f>
        <v>1.2</v>
      </c>
      <c r="E42" s="29">
        <f>VLOOKUP(A:A,'Food Database'!B:G,6,FALSE)</f>
        <v>7.9</v>
      </c>
      <c r="F42" s="29">
        <f>VLOOKUP(A:A,'Food Database'!B:H,7,FALSE)</f>
        <v>0.2</v>
      </c>
      <c r="H42" s="24" t="str">
        <f>VLOOKUP(A:A,'Food Database'!B:H,3,FALSE)</f>
        <v>Grams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/>
      <c r="B43" s="28">
        <f>VLOOKUP(A:A,'Food Database'!B:C,2,FALSE)</f>
        <v>0</v>
      </c>
      <c r="C43" s="24">
        <f>VLOOKUP(A:A,'Food Database'!B:E,4,FALSE)</f>
        <v>100</v>
      </c>
      <c r="D43" s="29">
        <f>VLOOKUP(A:A,'Food Database'!B:F,5,FALSE)</f>
        <v>0</v>
      </c>
      <c r="E43" s="29">
        <f>VLOOKUP(A:A,'Food Database'!B:G,6,FALSE)</f>
        <v>0</v>
      </c>
      <c r="F43" s="29">
        <f>VLOOKUP(A:A,'Food Database'!B:H,7,FALSE)</f>
        <v>0</v>
      </c>
      <c r="H43" s="24">
        <f>VLOOKUP(A:A,'Food Database'!B:H,3,FALSE)</f>
        <v>0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Day7</v>
      </c>
      <c r="D46" s="115" t="str">
        <f>D14</f>
        <v>Calories left to use =</v>
      </c>
      <c r="E46" s="130">
        <f>E14</f>
        <v>243.13987142326278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Day7</v>
      </c>
      <c r="D78" s="115" t="str">
        <f>D46</f>
        <v>Calories left to use =</v>
      </c>
      <c r="E78" s="130">
        <f>E46</f>
        <v>243.13987142326278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Chicken breast (raw)</v>
      </c>
      <c r="C81" s="461">
        <v>250</v>
      </c>
      <c r="D81" s="455">
        <f>SUM(C81*(D101/C101))</f>
        <v>57.725</v>
      </c>
      <c r="E81" s="455">
        <f>SUM(C81*(E101/C101))</f>
        <v>0</v>
      </c>
      <c r="F81" s="455">
        <f>SUM(C81*(F101/C101))</f>
        <v>3.1</v>
      </c>
      <c r="H81" s="35" t="s">
        <v>70</v>
      </c>
      <c r="I81" s="25">
        <f>IF(ISERROR(SUM(D97*4)/SUM(D97*4+E97*4+F97*9)),0,SUM(D97*4)/SUM(D97*4+E97*4+F97*9))</f>
        <v>0.5289462489937038</v>
      </c>
      <c r="J81" s="142" t="str">
        <f>CONCATENATE(ROUND(D97,1)," ","g")</f>
        <v>68.4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0.3922200814680157</v>
      </c>
      <c r="J82" s="142" t="str">
        <f>CONCATENATE(ROUND(E97,1)," ","g")</f>
        <v>50.7 g</v>
      </c>
    </row>
    <row r="83" spans="1:10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0.07883366953828061</v>
      </c>
      <c r="J83" s="142" t="str">
        <f>CONCATENATE(ROUND(F97,1)," ","g")</f>
        <v>4.5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517.456906354515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68.42672240802675</v>
      </c>
      <c r="E97" s="455">
        <f>SUM(E81:E96)</f>
        <v>50.73924749163881</v>
      </c>
      <c r="F97" s="455">
        <f>SUM(F81:F96)</f>
        <v>4.532558528428094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239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Day7</v>
      </c>
      <c r="D110" s="115" t="str">
        <f>D78</f>
        <v>Calories left to use =</v>
      </c>
      <c r="E110" s="130">
        <f>E78</f>
        <v>243.13987142326278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Day7</v>
      </c>
      <c r="D142" s="115" t="str">
        <f>D110</f>
        <v>Calories left to use =</v>
      </c>
      <c r="E142" s="130">
        <f>E110</f>
        <v>243.13987142326278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Day7</v>
      </c>
      <c r="D174" s="115" t="str">
        <f>D142</f>
        <v>Calories left to use =</v>
      </c>
      <c r="E174" s="130">
        <f>E142</f>
        <v>243.13987142326278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97" ht="15">
      <c r="GA6997" s="19" t="s">
        <v>32</v>
      </c>
    </row>
    <row r="6998" ht="15">
      <c r="GA6998" s="19" t="s">
        <v>65</v>
      </c>
    </row>
  </sheetData>
  <sheetProtection password="D348" sheet="1" selectLockedCells="1"/>
  <mergeCells count="326">
    <mergeCell ref="A12:F12"/>
    <mergeCell ref="E161:E162"/>
    <mergeCell ref="F161:F162"/>
    <mergeCell ref="B9:H9"/>
    <mergeCell ref="E159:E160"/>
    <mergeCell ref="F159:F160"/>
    <mergeCell ref="E157:E158"/>
    <mergeCell ref="F157:F158"/>
    <mergeCell ref="C157:C158"/>
    <mergeCell ref="D157:D158"/>
    <mergeCell ref="C159:C160"/>
    <mergeCell ref="D159:D160"/>
    <mergeCell ref="C161:C162"/>
    <mergeCell ref="D161:D162"/>
    <mergeCell ref="A157:A158"/>
    <mergeCell ref="B157:B158"/>
    <mergeCell ref="A159:A160"/>
    <mergeCell ref="B159:B160"/>
    <mergeCell ref="E151:E152"/>
    <mergeCell ref="F151:F152"/>
    <mergeCell ref="E153:E154"/>
    <mergeCell ref="F153:F154"/>
    <mergeCell ref="E155:E156"/>
    <mergeCell ref="F155:F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1:A152"/>
    <mergeCell ref="B151:B152"/>
    <mergeCell ref="C151:C152"/>
    <mergeCell ref="D151:D152"/>
    <mergeCell ref="A147:A148"/>
    <mergeCell ref="B147:B148"/>
    <mergeCell ref="C147:C148"/>
    <mergeCell ref="A149:A150"/>
    <mergeCell ref="B149:B150"/>
    <mergeCell ref="C149:C150"/>
    <mergeCell ref="D149:D150"/>
    <mergeCell ref="D147:D148"/>
    <mergeCell ref="E147:E148"/>
    <mergeCell ref="F147:F148"/>
    <mergeCell ref="E145:E146"/>
    <mergeCell ref="F145:F146"/>
    <mergeCell ref="E149:E150"/>
    <mergeCell ref="F149:F150"/>
    <mergeCell ref="A145:A146"/>
    <mergeCell ref="B145:B146"/>
    <mergeCell ref="C145:C146"/>
    <mergeCell ref="D145:D146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E121:E122"/>
    <mergeCell ref="F121:F122"/>
    <mergeCell ref="E123:E124"/>
    <mergeCell ref="F123:F124"/>
    <mergeCell ref="E125:E126"/>
    <mergeCell ref="F125:F126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E113:E114"/>
    <mergeCell ref="F113:F114"/>
    <mergeCell ref="E115:E116"/>
    <mergeCell ref="F115:F116"/>
    <mergeCell ref="E117:E118"/>
    <mergeCell ref="F117:F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C95:C96"/>
    <mergeCell ref="D95:D96"/>
    <mergeCell ref="C93:C94"/>
    <mergeCell ref="D93:D94"/>
    <mergeCell ref="A93:A94"/>
    <mergeCell ref="B93:B94"/>
    <mergeCell ref="A95:A96"/>
    <mergeCell ref="B95:B96"/>
    <mergeCell ref="E89:E90"/>
    <mergeCell ref="E95:E96"/>
    <mergeCell ref="F89:F90"/>
    <mergeCell ref="E91:E92"/>
    <mergeCell ref="F91:F92"/>
    <mergeCell ref="E93:E94"/>
    <mergeCell ref="F93:F94"/>
    <mergeCell ref="F95:F96"/>
    <mergeCell ref="A91:A92"/>
    <mergeCell ref="B91:B92"/>
    <mergeCell ref="C91:C92"/>
    <mergeCell ref="D91:D92"/>
    <mergeCell ref="A89:A90"/>
    <mergeCell ref="B89:B90"/>
    <mergeCell ref="C89:C90"/>
    <mergeCell ref="D89:D90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E81:E82"/>
    <mergeCell ref="F81:F82"/>
    <mergeCell ref="E83:E84"/>
    <mergeCell ref="F83:F84"/>
    <mergeCell ref="E85:E86"/>
    <mergeCell ref="F85:F86"/>
    <mergeCell ref="A83:A84"/>
    <mergeCell ref="B83:B84"/>
    <mergeCell ref="C83:C84"/>
    <mergeCell ref="D83:D84"/>
    <mergeCell ref="A81:A82"/>
    <mergeCell ref="B81:B82"/>
    <mergeCell ref="C81:C82"/>
    <mergeCell ref="D81:D82"/>
    <mergeCell ref="E63:E64"/>
    <mergeCell ref="F63:F64"/>
    <mergeCell ref="A61:A62"/>
    <mergeCell ref="B61:B62"/>
    <mergeCell ref="A63:A64"/>
    <mergeCell ref="B63:B64"/>
    <mergeCell ref="C63:C64"/>
    <mergeCell ref="D63:D64"/>
    <mergeCell ref="C61:C62"/>
    <mergeCell ref="D61:D62"/>
    <mergeCell ref="E57:E58"/>
    <mergeCell ref="F57:F58"/>
    <mergeCell ref="E59:E60"/>
    <mergeCell ref="F59:F60"/>
    <mergeCell ref="E61:E62"/>
    <mergeCell ref="F61:F62"/>
    <mergeCell ref="A59:A60"/>
    <mergeCell ref="B59:B60"/>
    <mergeCell ref="C59:C60"/>
    <mergeCell ref="D59:D60"/>
    <mergeCell ref="A57:A58"/>
    <mergeCell ref="B57:B58"/>
    <mergeCell ref="C57:C58"/>
    <mergeCell ref="D57:D58"/>
    <mergeCell ref="F55:F56"/>
    <mergeCell ref="A53:A54"/>
    <mergeCell ref="B53:B54"/>
    <mergeCell ref="A55:A56"/>
    <mergeCell ref="B55:B56"/>
    <mergeCell ref="C55:C56"/>
    <mergeCell ref="D55:D56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1:E22"/>
    <mergeCell ref="D21:D22"/>
    <mergeCell ref="E23:E24"/>
    <mergeCell ref="E25:E26"/>
    <mergeCell ref="A21:A22"/>
    <mergeCell ref="B21:B22"/>
    <mergeCell ref="C21:C22"/>
    <mergeCell ref="A23:A24"/>
    <mergeCell ref="B23:B24"/>
    <mergeCell ref="C23:C24"/>
    <mergeCell ref="E19:E20"/>
    <mergeCell ref="F19:F20"/>
    <mergeCell ref="F23:F24"/>
    <mergeCell ref="D23:D24"/>
    <mergeCell ref="F21:F22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D19:D20"/>
    <mergeCell ref="C33:C34"/>
    <mergeCell ref="D33:D34"/>
    <mergeCell ref="E33:E34"/>
    <mergeCell ref="F33:F34"/>
    <mergeCell ref="C65:C66"/>
    <mergeCell ref="D65:D66"/>
    <mergeCell ref="E65:E66"/>
    <mergeCell ref="F65:F66"/>
    <mergeCell ref="F97:F98"/>
    <mergeCell ref="G33:G34"/>
    <mergeCell ref="G65:G66"/>
    <mergeCell ref="E53:E54"/>
    <mergeCell ref="F53:F54"/>
    <mergeCell ref="E49:E50"/>
    <mergeCell ref="F49:F50"/>
    <mergeCell ref="E51:E52"/>
    <mergeCell ref="F51:F52"/>
    <mergeCell ref="E55:E56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A177:A178"/>
    <mergeCell ref="B177:B178"/>
    <mergeCell ref="C177:C178"/>
    <mergeCell ref="D177:D178"/>
    <mergeCell ref="E181:E182"/>
    <mergeCell ref="F181:F182"/>
    <mergeCell ref="A179:A180"/>
    <mergeCell ref="B179:B180"/>
    <mergeCell ref="C179:C180"/>
    <mergeCell ref="D179:D180"/>
    <mergeCell ref="E177:E178"/>
    <mergeCell ref="F177:F178"/>
    <mergeCell ref="E179:E180"/>
    <mergeCell ref="F179:F180"/>
    <mergeCell ref="E183:E184"/>
    <mergeCell ref="F183:F184"/>
    <mergeCell ref="A181:A182"/>
    <mergeCell ref="B181:B182"/>
    <mergeCell ref="A183:A184"/>
    <mergeCell ref="B183:B184"/>
    <mergeCell ref="C183:C184"/>
    <mergeCell ref="D183:D184"/>
    <mergeCell ref="C181:C182"/>
    <mergeCell ref="D181:D18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F185:F186"/>
    <mergeCell ref="E187:E188"/>
    <mergeCell ref="F187:F188"/>
    <mergeCell ref="E189:E190"/>
    <mergeCell ref="F189:F190"/>
    <mergeCell ref="D191:D192"/>
    <mergeCell ref="C189:C190"/>
    <mergeCell ref="D189:D190"/>
    <mergeCell ref="E185:E186"/>
    <mergeCell ref="A189:A190"/>
    <mergeCell ref="B189:B190"/>
    <mergeCell ref="A191:A192"/>
    <mergeCell ref="B191:B192"/>
    <mergeCell ref="B4:H4"/>
    <mergeCell ref="B3:H3"/>
    <mergeCell ref="G193:G194"/>
    <mergeCell ref="C193:C194"/>
    <mergeCell ref="D193:D194"/>
    <mergeCell ref="E193:E194"/>
    <mergeCell ref="F193:F194"/>
    <mergeCell ref="E191:E192"/>
    <mergeCell ref="F191:F192"/>
    <mergeCell ref="C191:C192"/>
    <mergeCell ref="B8:H8"/>
    <mergeCell ref="B7:H7"/>
    <mergeCell ref="B6:H6"/>
    <mergeCell ref="B5:H5"/>
  </mergeCells>
  <conditionalFormatting sqref="B11">
    <cfRule type="expression" priority="1" dxfId="15" stopIfTrue="1">
      <formula>#REF!="Yes"</formula>
    </cfRule>
  </conditionalFormatting>
  <conditionalFormatting sqref="I11">
    <cfRule type="expression" priority="2" dxfId="16" stopIfTrue="1">
      <formula>$J$2="Fast Day"</formula>
    </cfRule>
    <cfRule type="expression" priority="3" dxfId="16" stopIfTrue="1">
      <formula>$J$2="Cheat Day"</formula>
    </cfRule>
    <cfRule type="expression" priority="4" dxfId="15" stopIfTrue="1">
      <formula>$J$2="Depletion Day"</formula>
    </cfRule>
  </conditionalFormatting>
  <conditionalFormatting sqref="H11">
    <cfRule type="expression" priority="5" dxfId="16" stopIfTrue="1">
      <formula>$J$2="Cheat Day"</formula>
    </cfRule>
  </conditionalFormatting>
  <conditionalFormatting sqref="B3:B9">
    <cfRule type="expression" priority="6" dxfId="15" stopIfTrue="1">
      <formula>$L$3="Yes"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7" location="FastD" display="FastD"/>
    <hyperlink ref="I6" location="FastEE" display="FastEE"/>
    <hyperlink ref="I5" location="FastL" display="FastL"/>
    <hyperlink ref="I4" location="FastMM" display="FastMM"/>
    <hyperlink ref="I3" location="FastB" display="FastB"/>
    <hyperlink ref="I8" location="Bed4" display="Pre Bed"/>
    <hyperlink ref="B1" location="Four" display="DATABASE REFERENC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 I3:I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50"/>
    <pageSetUpPr fitToPage="1"/>
  </sheetPr>
  <dimension ref="A1:FY7093"/>
  <sheetViews>
    <sheetView showGridLines="0" showRowColHeaders="0" showZeros="0" showOutlineSymbols="0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5.421875" style="332" customWidth="1"/>
    <col min="2" max="2" width="6.00390625" style="348" bestFit="1" customWidth="1"/>
    <col min="3" max="3" width="57.57421875" style="349" customWidth="1"/>
    <col min="4" max="5" width="19.57421875" style="349" customWidth="1"/>
    <col min="6" max="8" width="19.57421875" style="350" customWidth="1"/>
    <col min="9" max="9" width="5.140625" style="337" customWidth="1"/>
    <col min="10" max="10" width="15.421875" style="332" customWidth="1"/>
    <col min="11" max="11" width="7.7109375" style="332" customWidth="1"/>
    <col min="12" max="12" width="32.00390625" style="332" bestFit="1" customWidth="1"/>
    <col min="13" max="13" width="12.00390625" style="332" bestFit="1" customWidth="1"/>
    <col min="14" max="15" width="4.57421875" style="332" bestFit="1" customWidth="1"/>
    <col min="16" max="16" width="13.8515625" style="332" customWidth="1"/>
    <col min="17" max="17" width="10.7109375" style="332" customWidth="1"/>
    <col min="18" max="18" width="18.28125" style="332" customWidth="1"/>
    <col min="19" max="19" width="7.421875" style="332" customWidth="1"/>
    <col min="20" max="180" width="9.140625" style="332" customWidth="1"/>
    <col min="181" max="181" width="39.7109375" style="332" hidden="1" customWidth="1"/>
    <col min="182" max="16384" width="9.140625" style="332" customWidth="1"/>
  </cols>
  <sheetData>
    <row r="1" spans="2:8" ht="24" thickBot="1">
      <c r="B1" s="333">
        <v>0</v>
      </c>
      <c r="C1" s="334"/>
      <c r="D1" s="335"/>
      <c r="E1" s="335">
        <v>100</v>
      </c>
      <c r="F1" s="336"/>
      <c r="G1" s="336"/>
      <c r="H1" s="336"/>
    </row>
    <row r="2" spans="1:9" s="343" customFormat="1" ht="24" thickBot="1">
      <c r="A2" s="338"/>
      <c r="B2" s="339"/>
      <c r="C2" s="340" t="s">
        <v>35</v>
      </c>
      <c r="D2" s="340" t="s">
        <v>25</v>
      </c>
      <c r="E2" s="340" t="s">
        <v>17</v>
      </c>
      <c r="F2" s="341" t="s">
        <v>0</v>
      </c>
      <c r="G2" s="341" t="s">
        <v>53</v>
      </c>
      <c r="H2" s="341" t="s">
        <v>1</v>
      </c>
      <c r="I2" s="342"/>
    </row>
    <row r="3" spans="2:9" s="343" customFormat="1" ht="21.75" thickBot="1">
      <c r="B3" s="476" t="str">
        <f>HYPERLINK("http://www.wayofthedave.com","For instructions, go to WayoftheDave.com")</f>
        <v>For instructions, go to WayoftheDave.com</v>
      </c>
      <c r="C3" s="477"/>
      <c r="D3" s="477"/>
      <c r="E3" s="477"/>
      <c r="F3" s="477"/>
      <c r="G3" s="477"/>
      <c r="H3" s="477"/>
      <c r="I3" s="478"/>
    </row>
    <row r="4" spans="2:9" ht="21">
      <c r="B4" s="344">
        <v>1</v>
      </c>
      <c r="C4" s="166" t="s">
        <v>110</v>
      </c>
      <c r="D4" s="167" t="s">
        <v>22</v>
      </c>
      <c r="E4" s="168">
        <v>100</v>
      </c>
      <c r="F4" s="169">
        <v>0.4</v>
      </c>
      <c r="G4" s="170">
        <v>4</v>
      </c>
      <c r="H4" s="171">
        <v>0.9</v>
      </c>
      <c r="I4" s="473" t="str">
        <f>Day1!C14</f>
        <v>Day1</v>
      </c>
    </row>
    <row r="5" spans="2:9" ht="21">
      <c r="B5" s="345">
        <v>2</v>
      </c>
      <c r="C5" s="172" t="s">
        <v>111</v>
      </c>
      <c r="D5" s="173" t="s">
        <v>19</v>
      </c>
      <c r="E5" s="174">
        <v>100</v>
      </c>
      <c r="F5" s="175">
        <v>21.9</v>
      </c>
      <c r="G5" s="176">
        <v>19.9</v>
      </c>
      <c r="H5" s="177">
        <v>50.6</v>
      </c>
      <c r="I5" s="474"/>
    </row>
    <row r="6" spans="2:9" ht="21">
      <c r="B6" s="345">
        <v>3</v>
      </c>
      <c r="C6" s="178" t="s">
        <v>52</v>
      </c>
      <c r="D6" s="173" t="s">
        <v>19</v>
      </c>
      <c r="E6" s="179">
        <v>100</v>
      </c>
      <c r="F6" s="175">
        <v>0.4</v>
      </c>
      <c r="G6" s="176">
        <v>15</v>
      </c>
      <c r="H6" s="177">
        <v>0.1</v>
      </c>
      <c r="I6" s="474"/>
    </row>
    <row r="7" spans="2:9" ht="21">
      <c r="B7" s="345">
        <v>4</v>
      </c>
      <c r="C7" s="172" t="s">
        <v>112</v>
      </c>
      <c r="D7" s="173" t="s">
        <v>19</v>
      </c>
      <c r="E7" s="174">
        <v>299</v>
      </c>
      <c r="F7" s="175">
        <v>7.5</v>
      </c>
      <c r="G7" s="176">
        <v>63.2</v>
      </c>
      <c r="H7" s="177">
        <v>0.4</v>
      </c>
      <c r="I7" s="474"/>
    </row>
    <row r="8" spans="2:9" ht="21">
      <c r="B8" s="345">
        <v>5</v>
      </c>
      <c r="C8" s="178" t="s">
        <v>113</v>
      </c>
      <c r="D8" s="173" t="s">
        <v>19</v>
      </c>
      <c r="E8" s="179">
        <v>225</v>
      </c>
      <c r="F8" s="175">
        <v>2</v>
      </c>
      <c r="G8" s="176">
        <v>51</v>
      </c>
      <c r="H8" s="177">
        <v>1</v>
      </c>
      <c r="I8" s="474"/>
    </row>
    <row r="9" spans="2:9" ht="21">
      <c r="B9" s="345">
        <v>6</v>
      </c>
      <c r="C9" s="178" t="s">
        <v>114</v>
      </c>
      <c r="D9" s="173" t="s">
        <v>19</v>
      </c>
      <c r="E9" s="179">
        <v>200</v>
      </c>
      <c r="F9" s="175">
        <v>9.2</v>
      </c>
      <c r="G9" s="176">
        <v>21.5</v>
      </c>
      <c r="H9" s="177">
        <v>0.4</v>
      </c>
      <c r="I9" s="474"/>
    </row>
    <row r="10" spans="2:9" ht="21">
      <c r="B10" s="345">
        <v>7</v>
      </c>
      <c r="C10" s="172" t="s">
        <v>115</v>
      </c>
      <c r="D10" s="173" t="s">
        <v>19</v>
      </c>
      <c r="E10" s="174">
        <v>100</v>
      </c>
      <c r="F10" s="175">
        <v>27</v>
      </c>
      <c r="G10" s="176">
        <v>0</v>
      </c>
      <c r="H10" s="177">
        <v>1.1</v>
      </c>
      <c r="I10" s="474"/>
    </row>
    <row r="11" spans="2:9" ht="21">
      <c r="B11" s="345">
        <v>8</v>
      </c>
      <c r="C11" s="172" t="s">
        <v>116</v>
      </c>
      <c r="D11" s="173" t="s">
        <v>19</v>
      </c>
      <c r="E11" s="174">
        <v>100</v>
      </c>
      <c r="F11" s="175">
        <v>23.09</v>
      </c>
      <c r="G11" s="176">
        <v>0</v>
      </c>
      <c r="H11" s="177">
        <v>1.24</v>
      </c>
      <c r="I11" s="474"/>
    </row>
    <row r="12" spans="2:9" ht="21">
      <c r="B12" s="345">
        <v>9</v>
      </c>
      <c r="C12" s="178" t="s">
        <v>117</v>
      </c>
      <c r="D12" s="173" t="s">
        <v>19</v>
      </c>
      <c r="E12" s="179">
        <v>100</v>
      </c>
      <c r="F12" s="175">
        <v>1.2</v>
      </c>
      <c r="G12" s="176">
        <v>7.9</v>
      </c>
      <c r="H12" s="177">
        <v>0.2</v>
      </c>
      <c r="I12" s="474"/>
    </row>
    <row r="13" spans="2:9" ht="21">
      <c r="B13" s="345">
        <v>10</v>
      </c>
      <c r="C13" s="172" t="s">
        <v>118</v>
      </c>
      <c r="D13" s="173" t="s">
        <v>119</v>
      </c>
      <c r="E13" s="174">
        <v>1</v>
      </c>
      <c r="F13" s="175">
        <v>7.28</v>
      </c>
      <c r="G13" s="176">
        <v>0.56</v>
      </c>
      <c r="H13" s="177">
        <v>5.6</v>
      </c>
      <c r="I13" s="474"/>
    </row>
    <row r="14" spans="2:10" ht="21">
      <c r="B14" s="345">
        <v>11</v>
      </c>
      <c r="C14" s="178" t="s">
        <v>120</v>
      </c>
      <c r="D14" s="173" t="s">
        <v>19</v>
      </c>
      <c r="E14" s="174">
        <v>100</v>
      </c>
      <c r="F14" s="175">
        <v>7.9</v>
      </c>
      <c r="G14" s="176">
        <v>70.3</v>
      </c>
      <c r="H14" s="177">
        <v>1.5</v>
      </c>
      <c r="I14" s="474"/>
      <c r="J14" s="346"/>
    </row>
    <row r="15" spans="2:9" ht="21">
      <c r="B15" s="345">
        <v>12</v>
      </c>
      <c r="C15" s="178" t="s">
        <v>121</v>
      </c>
      <c r="D15" s="173" t="s">
        <v>19</v>
      </c>
      <c r="E15" s="174">
        <v>13</v>
      </c>
      <c r="F15" s="175">
        <v>0.2</v>
      </c>
      <c r="G15" s="176">
        <v>0.2</v>
      </c>
      <c r="H15" s="177">
        <v>10</v>
      </c>
      <c r="I15" s="474"/>
    </row>
    <row r="16" spans="2:9" ht="21">
      <c r="B16" s="345">
        <v>13</v>
      </c>
      <c r="C16" s="172" t="s">
        <v>122</v>
      </c>
      <c r="D16" s="173" t="s">
        <v>19</v>
      </c>
      <c r="E16" s="174">
        <v>100</v>
      </c>
      <c r="F16" s="175">
        <v>3.6</v>
      </c>
      <c r="G16" s="176">
        <v>2.6</v>
      </c>
      <c r="H16" s="177">
        <v>1.7</v>
      </c>
      <c r="I16" s="474"/>
    </row>
    <row r="17" spans="2:9" ht="21">
      <c r="B17" s="345">
        <v>14</v>
      </c>
      <c r="C17" s="178" t="s">
        <v>123</v>
      </c>
      <c r="D17" s="173" t="s">
        <v>19</v>
      </c>
      <c r="E17" s="174">
        <v>100</v>
      </c>
      <c r="F17" s="175">
        <v>2.4</v>
      </c>
      <c r="G17" s="176">
        <v>23</v>
      </c>
      <c r="H17" s="177">
        <v>3.6</v>
      </c>
      <c r="I17" s="474"/>
    </row>
    <row r="18" spans="2:9" ht="21">
      <c r="B18" s="345">
        <v>15</v>
      </c>
      <c r="C18" s="172" t="s">
        <v>124</v>
      </c>
      <c r="D18" s="173" t="s">
        <v>19</v>
      </c>
      <c r="E18" s="174">
        <v>30</v>
      </c>
      <c r="F18" s="175">
        <v>25.5</v>
      </c>
      <c r="G18" s="176">
        <v>4.5</v>
      </c>
      <c r="H18" s="177">
        <v>0.45</v>
      </c>
      <c r="I18" s="474"/>
    </row>
    <row r="19" spans="2:9" ht="21">
      <c r="B19" s="345">
        <v>16</v>
      </c>
      <c r="C19" s="178" t="s">
        <v>125</v>
      </c>
      <c r="D19" s="173" t="s">
        <v>119</v>
      </c>
      <c r="E19" s="179">
        <v>1</v>
      </c>
      <c r="F19" s="175">
        <v>-2.7</v>
      </c>
      <c r="G19" s="176">
        <v>-0.61</v>
      </c>
      <c r="H19" s="177">
        <v>-4.51</v>
      </c>
      <c r="I19" s="474"/>
    </row>
    <row r="20" spans="2:9" ht="21">
      <c r="B20" s="345">
        <v>17</v>
      </c>
      <c r="C20" s="178" t="s">
        <v>126</v>
      </c>
      <c r="D20" s="173" t="s">
        <v>19</v>
      </c>
      <c r="E20" s="179">
        <v>25</v>
      </c>
      <c r="F20" s="175">
        <v>18.86</v>
      </c>
      <c r="G20" s="176">
        <v>1.5</v>
      </c>
      <c r="H20" s="177">
        <v>1.7</v>
      </c>
      <c r="I20" s="474"/>
    </row>
    <row r="21" spans="2:9" ht="21">
      <c r="B21" s="345">
        <v>18</v>
      </c>
      <c r="C21" s="178" t="s">
        <v>127</v>
      </c>
      <c r="D21" s="173" t="s">
        <v>19</v>
      </c>
      <c r="E21" s="174">
        <v>100</v>
      </c>
      <c r="F21" s="175">
        <v>12.5</v>
      </c>
      <c r="G21" s="176">
        <v>68.3</v>
      </c>
      <c r="H21" s="177">
        <v>6.4</v>
      </c>
      <c r="I21" s="474"/>
    </row>
    <row r="22" spans="2:9" ht="21">
      <c r="B22" s="345">
        <v>19</v>
      </c>
      <c r="C22" s="178" t="s">
        <v>128</v>
      </c>
      <c r="D22" s="173" t="s">
        <v>19</v>
      </c>
      <c r="E22" s="179">
        <v>100</v>
      </c>
      <c r="F22" s="175">
        <v>24.9</v>
      </c>
      <c r="G22" s="176">
        <v>10.1</v>
      </c>
      <c r="H22" s="177">
        <v>50.2</v>
      </c>
      <c r="I22" s="474"/>
    </row>
    <row r="23" spans="2:9" ht="21">
      <c r="B23" s="345">
        <v>20</v>
      </c>
      <c r="C23" s="172" t="s">
        <v>129</v>
      </c>
      <c r="D23" s="173" t="s">
        <v>19</v>
      </c>
      <c r="E23" s="174">
        <v>100</v>
      </c>
      <c r="F23" s="175">
        <v>29.6</v>
      </c>
      <c r="G23" s="176">
        <v>11.6</v>
      </c>
      <c r="H23" s="177">
        <v>46</v>
      </c>
      <c r="I23" s="474"/>
    </row>
    <row r="24" spans="2:9" ht="21">
      <c r="B24" s="345">
        <v>21</v>
      </c>
      <c r="C24" s="172" t="s">
        <v>130</v>
      </c>
      <c r="D24" s="173" t="s">
        <v>19</v>
      </c>
      <c r="E24" s="174">
        <v>100</v>
      </c>
      <c r="F24" s="175">
        <v>4.9</v>
      </c>
      <c r="G24" s="176">
        <v>7.5</v>
      </c>
      <c r="H24" s="177">
        <v>0.7</v>
      </c>
      <c r="I24" s="474"/>
    </row>
    <row r="25" spans="2:9" ht="21">
      <c r="B25" s="345">
        <v>22</v>
      </c>
      <c r="C25" s="172" t="s">
        <v>131</v>
      </c>
      <c r="D25" s="173" t="s">
        <v>19</v>
      </c>
      <c r="E25" s="174">
        <v>30</v>
      </c>
      <c r="F25" s="175">
        <v>26.5</v>
      </c>
      <c r="G25" s="176">
        <v>0.28</v>
      </c>
      <c r="H25" s="177">
        <v>0</v>
      </c>
      <c r="I25" s="474"/>
    </row>
    <row r="26" spans="2:9" ht="21">
      <c r="B26" s="345">
        <v>23</v>
      </c>
      <c r="C26" s="178" t="s">
        <v>132</v>
      </c>
      <c r="D26" s="173" t="s">
        <v>19</v>
      </c>
      <c r="E26" s="179">
        <v>100</v>
      </c>
      <c r="F26" s="175">
        <v>0</v>
      </c>
      <c r="G26" s="176">
        <v>0</v>
      </c>
      <c r="H26" s="177">
        <v>100</v>
      </c>
      <c r="I26" s="474"/>
    </row>
    <row r="27" spans="2:9" ht="21">
      <c r="B27" s="345">
        <v>24</v>
      </c>
      <c r="C27" s="172" t="s">
        <v>133</v>
      </c>
      <c r="D27" s="173" t="s">
        <v>119</v>
      </c>
      <c r="E27" s="174">
        <v>100</v>
      </c>
      <c r="F27" s="175">
        <v>7.1</v>
      </c>
      <c r="G27" s="176">
        <v>77.1</v>
      </c>
      <c r="H27" s="177">
        <v>1.2</v>
      </c>
      <c r="I27" s="474"/>
    </row>
    <row r="28" spans="2:9" ht="21">
      <c r="B28" s="345">
        <v>25</v>
      </c>
      <c r="C28" s="178" t="s">
        <v>134</v>
      </c>
      <c r="D28" s="173" t="s">
        <v>19</v>
      </c>
      <c r="E28" s="179">
        <v>100</v>
      </c>
      <c r="F28" s="175">
        <v>22</v>
      </c>
      <c r="G28" s="176">
        <v>0</v>
      </c>
      <c r="H28" s="177">
        <v>4.1</v>
      </c>
      <c r="I28" s="474"/>
    </row>
    <row r="29" spans="2:9" ht="21">
      <c r="B29" s="345">
        <v>26</v>
      </c>
      <c r="C29" s="178" t="s">
        <v>135</v>
      </c>
      <c r="D29" s="173" t="s">
        <v>19</v>
      </c>
      <c r="E29" s="179">
        <v>100</v>
      </c>
      <c r="F29" s="175">
        <v>26</v>
      </c>
      <c r="G29" s="176">
        <v>1.4</v>
      </c>
      <c r="H29" s="177">
        <v>22</v>
      </c>
      <c r="I29" s="474"/>
    </row>
    <row r="30" spans="2:10" ht="21">
      <c r="B30" s="345">
        <v>27</v>
      </c>
      <c r="C30" s="172" t="s">
        <v>136</v>
      </c>
      <c r="D30" s="173" t="s">
        <v>19</v>
      </c>
      <c r="E30" s="174">
        <v>100</v>
      </c>
      <c r="F30" s="175">
        <v>0.9</v>
      </c>
      <c r="G30" s="176">
        <v>9.6</v>
      </c>
      <c r="H30" s="177">
        <v>28.5</v>
      </c>
      <c r="I30" s="474"/>
      <c r="J30" s="346"/>
    </row>
    <row r="31" spans="2:9" ht="21">
      <c r="B31" s="345">
        <v>28</v>
      </c>
      <c r="C31" s="178" t="s">
        <v>137</v>
      </c>
      <c r="D31" s="173" t="s">
        <v>19</v>
      </c>
      <c r="E31" s="179">
        <v>100</v>
      </c>
      <c r="F31" s="175">
        <v>0.5</v>
      </c>
      <c r="G31" s="176">
        <v>81</v>
      </c>
      <c r="H31" s="177">
        <v>0</v>
      </c>
      <c r="I31" s="474"/>
    </row>
    <row r="32" spans="2:9" ht="21">
      <c r="B32" s="345">
        <v>29</v>
      </c>
      <c r="C32" s="172" t="s">
        <v>138</v>
      </c>
      <c r="D32" s="173" t="s">
        <v>19</v>
      </c>
      <c r="E32" s="174">
        <v>100</v>
      </c>
      <c r="F32" s="175">
        <v>0.9</v>
      </c>
      <c r="G32" s="176">
        <v>24.1</v>
      </c>
      <c r="H32" s="177">
        <v>0.1</v>
      </c>
      <c r="I32" s="474"/>
    </row>
    <row r="33" spans="2:9" ht="21">
      <c r="B33" s="345">
        <v>30</v>
      </c>
      <c r="C33" s="178" t="s">
        <v>139</v>
      </c>
      <c r="D33" s="173" t="s">
        <v>19</v>
      </c>
      <c r="E33" s="179">
        <v>100</v>
      </c>
      <c r="F33" s="175">
        <v>2.3</v>
      </c>
      <c r="G33" s="176">
        <v>68.1</v>
      </c>
      <c r="H33" s="177">
        <v>0.4</v>
      </c>
      <c r="I33" s="474"/>
    </row>
    <row r="34" spans="2:9" ht="21">
      <c r="B34" s="345">
        <v>31</v>
      </c>
      <c r="C34" s="178" t="s">
        <v>141</v>
      </c>
      <c r="D34" s="173" t="s">
        <v>19</v>
      </c>
      <c r="E34" s="179">
        <v>100</v>
      </c>
      <c r="F34" s="175">
        <v>3.1</v>
      </c>
      <c r="G34" s="176">
        <v>1.1</v>
      </c>
      <c r="H34" s="177">
        <v>0.8</v>
      </c>
      <c r="I34" s="474"/>
    </row>
    <row r="35" spans="2:9" ht="21">
      <c r="B35" s="345">
        <v>32</v>
      </c>
      <c r="C35" s="178"/>
      <c r="D35" s="173"/>
      <c r="E35" s="174"/>
      <c r="F35" s="175"/>
      <c r="G35" s="176"/>
      <c r="H35" s="177"/>
      <c r="I35" s="474"/>
    </row>
    <row r="36" spans="2:9" ht="21">
      <c r="B36" s="345">
        <v>33</v>
      </c>
      <c r="C36" s="178"/>
      <c r="D36" s="173"/>
      <c r="E36" s="179"/>
      <c r="F36" s="175"/>
      <c r="G36" s="176"/>
      <c r="H36" s="177"/>
      <c r="I36" s="474"/>
    </row>
    <row r="37" spans="2:9" ht="21">
      <c r="B37" s="345">
        <v>34</v>
      </c>
      <c r="C37" s="178"/>
      <c r="D37" s="173"/>
      <c r="E37" s="174"/>
      <c r="F37" s="175"/>
      <c r="G37" s="176"/>
      <c r="H37" s="177"/>
      <c r="I37" s="474"/>
    </row>
    <row r="38" spans="2:9" ht="21.75" thickBot="1">
      <c r="B38" s="347">
        <v>35</v>
      </c>
      <c r="C38" s="178"/>
      <c r="D38" s="173"/>
      <c r="E38" s="179"/>
      <c r="F38" s="175"/>
      <c r="G38" s="176"/>
      <c r="H38" s="177"/>
      <c r="I38" s="475"/>
    </row>
    <row r="39" spans="2:9" ht="24" thickBot="1">
      <c r="B39" s="464" t="str">
        <f>Five</f>
        <v>Day2</v>
      </c>
      <c r="C39" s="465"/>
      <c r="D39" s="465"/>
      <c r="E39" s="465"/>
      <c r="F39" s="465"/>
      <c r="G39" s="465"/>
      <c r="H39" s="465"/>
      <c r="I39" s="466"/>
    </row>
    <row r="40" spans="2:9" ht="21">
      <c r="B40" s="344">
        <v>36</v>
      </c>
      <c r="C40" s="178" t="s">
        <v>52</v>
      </c>
      <c r="D40" s="173" t="s">
        <v>19</v>
      </c>
      <c r="E40" s="179">
        <v>100</v>
      </c>
      <c r="F40" s="175">
        <v>0.4</v>
      </c>
      <c r="G40" s="176">
        <v>15</v>
      </c>
      <c r="H40" s="177">
        <v>0.1</v>
      </c>
      <c r="I40" s="470" t="str">
        <f>Day2!C14</f>
        <v>Day2</v>
      </c>
    </row>
    <row r="41" spans="2:9" ht="21">
      <c r="B41" s="345">
        <v>37</v>
      </c>
      <c r="C41" s="172" t="s">
        <v>112</v>
      </c>
      <c r="D41" s="173" t="s">
        <v>19</v>
      </c>
      <c r="E41" s="174">
        <v>299</v>
      </c>
      <c r="F41" s="175">
        <v>7.5</v>
      </c>
      <c r="G41" s="176">
        <v>63.2</v>
      </c>
      <c r="H41" s="177">
        <v>0.4</v>
      </c>
      <c r="I41" s="471"/>
    </row>
    <row r="42" spans="2:9" ht="21">
      <c r="B42" s="345">
        <v>38</v>
      </c>
      <c r="C42" s="178" t="s">
        <v>113</v>
      </c>
      <c r="D42" s="173" t="s">
        <v>19</v>
      </c>
      <c r="E42" s="179">
        <v>225</v>
      </c>
      <c r="F42" s="175">
        <v>2</v>
      </c>
      <c r="G42" s="176">
        <v>51</v>
      </c>
      <c r="H42" s="177">
        <v>1</v>
      </c>
      <c r="I42" s="471"/>
    </row>
    <row r="43" spans="2:9" ht="21">
      <c r="B43" s="345">
        <v>39</v>
      </c>
      <c r="C43" s="178" t="s">
        <v>114</v>
      </c>
      <c r="D43" s="173" t="s">
        <v>19</v>
      </c>
      <c r="E43" s="179">
        <v>200</v>
      </c>
      <c r="F43" s="175">
        <v>9.2</v>
      </c>
      <c r="G43" s="176">
        <v>21.5</v>
      </c>
      <c r="H43" s="177">
        <v>0.4</v>
      </c>
      <c r="I43" s="471"/>
    </row>
    <row r="44" spans="2:9" ht="21">
      <c r="B44" s="345">
        <v>40</v>
      </c>
      <c r="C44" s="172" t="s">
        <v>115</v>
      </c>
      <c r="D44" s="173" t="s">
        <v>19</v>
      </c>
      <c r="E44" s="174">
        <v>100</v>
      </c>
      <c r="F44" s="175">
        <v>27</v>
      </c>
      <c r="G44" s="176">
        <v>0</v>
      </c>
      <c r="H44" s="177">
        <v>1.1</v>
      </c>
      <c r="I44" s="471"/>
    </row>
    <row r="45" spans="2:9" ht="21">
      <c r="B45" s="345">
        <v>41</v>
      </c>
      <c r="C45" s="172" t="s">
        <v>116</v>
      </c>
      <c r="D45" s="173" t="s">
        <v>19</v>
      </c>
      <c r="E45" s="174">
        <v>100</v>
      </c>
      <c r="F45" s="175">
        <v>23.09</v>
      </c>
      <c r="G45" s="176">
        <v>0</v>
      </c>
      <c r="H45" s="177">
        <v>1.24</v>
      </c>
      <c r="I45" s="471"/>
    </row>
    <row r="46" spans="2:9" ht="21">
      <c r="B46" s="345">
        <v>42</v>
      </c>
      <c r="C46" s="178" t="s">
        <v>117</v>
      </c>
      <c r="D46" s="173" t="s">
        <v>19</v>
      </c>
      <c r="E46" s="179">
        <v>100</v>
      </c>
      <c r="F46" s="175">
        <v>1.2</v>
      </c>
      <c r="G46" s="176">
        <v>7.9</v>
      </c>
      <c r="H46" s="177">
        <v>0.2</v>
      </c>
      <c r="I46" s="471"/>
    </row>
    <row r="47" spans="2:9" ht="21">
      <c r="B47" s="345">
        <v>43</v>
      </c>
      <c r="C47" s="172" t="s">
        <v>118</v>
      </c>
      <c r="D47" s="173" t="s">
        <v>119</v>
      </c>
      <c r="E47" s="174">
        <v>1</v>
      </c>
      <c r="F47" s="175">
        <v>7.28</v>
      </c>
      <c r="G47" s="176">
        <v>0.56</v>
      </c>
      <c r="H47" s="177">
        <v>5.6</v>
      </c>
      <c r="I47" s="471"/>
    </row>
    <row r="48" spans="2:9" ht="21">
      <c r="B48" s="345">
        <v>44</v>
      </c>
      <c r="C48" s="178" t="s">
        <v>120</v>
      </c>
      <c r="D48" s="173" t="s">
        <v>19</v>
      </c>
      <c r="E48" s="174">
        <v>100</v>
      </c>
      <c r="F48" s="175">
        <v>7.9</v>
      </c>
      <c r="G48" s="176">
        <v>70.3</v>
      </c>
      <c r="H48" s="177">
        <v>1.5</v>
      </c>
      <c r="I48" s="471"/>
    </row>
    <row r="49" spans="2:9" ht="21">
      <c r="B49" s="345">
        <v>45</v>
      </c>
      <c r="C49" s="178" t="s">
        <v>121</v>
      </c>
      <c r="D49" s="173" t="s">
        <v>19</v>
      </c>
      <c r="E49" s="174">
        <v>13</v>
      </c>
      <c r="F49" s="175">
        <v>0.2</v>
      </c>
      <c r="G49" s="176">
        <v>0.2</v>
      </c>
      <c r="H49" s="177">
        <v>10</v>
      </c>
      <c r="I49" s="471"/>
    </row>
    <row r="50" spans="2:10" ht="21">
      <c r="B50" s="345">
        <v>46</v>
      </c>
      <c r="C50" s="172" t="s">
        <v>122</v>
      </c>
      <c r="D50" s="173" t="s">
        <v>19</v>
      </c>
      <c r="E50" s="174">
        <v>100</v>
      </c>
      <c r="F50" s="175">
        <v>3.6</v>
      </c>
      <c r="G50" s="176">
        <v>2.6</v>
      </c>
      <c r="H50" s="177">
        <v>1.7</v>
      </c>
      <c r="I50" s="471"/>
      <c r="J50" s="346"/>
    </row>
    <row r="51" spans="2:9" ht="21">
      <c r="B51" s="345">
        <v>47</v>
      </c>
      <c r="C51" s="178" t="s">
        <v>123</v>
      </c>
      <c r="D51" s="173" t="s">
        <v>19</v>
      </c>
      <c r="E51" s="174">
        <v>100</v>
      </c>
      <c r="F51" s="175">
        <v>2.4</v>
      </c>
      <c r="G51" s="176">
        <v>23</v>
      </c>
      <c r="H51" s="177">
        <v>3.6</v>
      </c>
      <c r="I51" s="471"/>
    </row>
    <row r="52" spans="2:9" ht="21">
      <c r="B52" s="345">
        <v>48</v>
      </c>
      <c r="C52" s="172" t="s">
        <v>124</v>
      </c>
      <c r="D52" s="173" t="s">
        <v>19</v>
      </c>
      <c r="E52" s="174">
        <v>30</v>
      </c>
      <c r="F52" s="175">
        <v>25.5</v>
      </c>
      <c r="G52" s="176">
        <v>4.5</v>
      </c>
      <c r="H52" s="177">
        <v>0.45</v>
      </c>
      <c r="I52" s="471"/>
    </row>
    <row r="53" spans="2:9" ht="21">
      <c r="B53" s="345">
        <v>49</v>
      </c>
      <c r="C53" s="178" t="s">
        <v>125</v>
      </c>
      <c r="D53" s="173" t="s">
        <v>119</v>
      </c>
      <c r="E53" s="179">
        <v>1</v>
      </c>
      <c r="F53" s="175">
        <v>-2.7</v>
      </c>
      <c r="G53" s="176">
        <v>-0.61</v>
      </c>
      <c r="H53" s="177">
        <v>-4.51</v>
      </c>
      <c r="I53" s="471"/>
    </row>
    <row r="54" spans="2:9" ht="21">
      <c r="B54" s="345">
        <v>50</v>
      </c>
      <c r="C54" s="178" t="s">
        <v>126</v>
      </c>
      <c r="D54" s="173" t="s">
        <v>19</v>
      </c>
      <c r="E54" s="179">
        <v>25</v>
      </c>
      <c r="F54" s="175">
        <v>18.86</v>
      </c>
      <c r="G54" s="176">
        <v>1.5</v>
      </c>
      <c r="H54" s="177">
        <v>1.7</v>
      </c>
      <c r="I54" s="471"/>
    </row>
    <row r="55" spans="2:9" ht="21">
      <c r="B55" s="345">
        <v>51</v>
      </c>
      <c r="C55" s="178" t="s">
        <v>127</v>
      </c>
      <c r="D55" s="173" t="s">
        <v>19</v>
      </c>
      <c r="E55" s="174">
        <v>100</v>
      </c>
      <c r="F55" s="175">
        <v>12.5</v>
      </c>
      <c r="G55" s="176">
        <v>68.3</v>
      </c>
      <c r="H55" s="177">
        <v>6.4</v>
      </c>
      <c r="I55" s="471"/>
    </row>
    <row r="56" spans="1:9" ht="21">
      <c r="A56" s="346"/>
      <c r="B56" s="345">
        <v>52</v>
      </c>
      <c r="C56" s="178" t="s">
        <v>128</v>
      </c>
      <c r="D56" s="173" t="s">
        <v>19</v>
      </c>
      <c r="E56" s="179">
        <v>100</v>
      </c>
      <c r="F56" s="175">
        <v>24.9</v>
      </c>
      <c r="G56" s="176">
        <v>10.1</v>
      </c>
      <c r="H56" s="177">
        <v>50.2</v>
      </c>
      <c r="I56" s="471"/>
    </row>
    <row r="57" spans="2:9" ht="21">
      <c r="B57" s="345">
        <v>53</v>
      </c>
      <c r="C57" s="172" t="s">
        <v>129</v>
      </c>
      <c r="D57" s="173" t="s">
        <v>19</v>
      </c>
      <c r="E57" s="174">
        <v>100</v>
      </c>
      <c r="F57" s="175">
        <v>29.6</v>
      </c>
      <c r="G57" s="176">
        <v>11.6</v>
      </c>
      <c r="H57" s="177">
        <v>46</v>
      </c>
      <c r="I57" s="471"/>
    </row>
    <row r="58" spans="2:9" ht="21">
      <c r="B58" s="345">
        <v>54</v>
      </c>
      <c r="C58" s="172" t="s">
        <v>130</v>
      </c>
      <c r="D58" s="173" t="s">
        <v>19</v>
      </c>
      <c r="E58" s="174">
        <v>100</v>
      </c>
      <c r="F58" s="175">
        <v>4.9</v>
      </c>
      <c r="G58" s="176">
        <v>7.5</v>
      </c>
      <c r="H58" s="177">
        <v>0.7</v>
      </c>
      <c r="I58" s="471"/>
    </row>
    <row r="59" spans="2:9" ht="21">
      <c r="B59" s="345">
        <v>55</v>
      </c>
      <c r="C59" s="172" t="s">
        <v>131</v>
      </c>
      <c r="D59" s="173" t="s">
        <v>19</v>
      </c>
      <c r="E59" s="174">
        <v>30</v>
      </c>
      <c r="F59" s="175">
        <v>26.5</v>
      </c>
      <c r="G59" s="176">
        <v>0.28</v>
      </c>
      <c r="H59" s="177">
        <v>0</v>
      </c>
      <c r="I59" s="471"/>
    </row>
    <row r="60" spans="2:9" ht="21">
      <c r="B60" s="345">
        <v>56</v>
      </c>
      <c r="C60" s="178" t="s">
        <v>132</v>
      </c>
      <c r="D60" s="173" t="s">
        <v>19</v>
      </c>
      <c r="E60" s="179">
        <v>100</v>
      </c>
      <c r="F60" s="175">
        <v>0</v>
      </c>
      <c r="G60" s="176">
        <v>0</v>
      </c>
      <c r="H60" s="177">
        <v>100</v>
      </c>
      <c r="I60" s="471"/>
    </row>
    <row r="61" spans="2:9" ht="21">
      <c r="B61" s="345">
        <v>57</v>
      </c>
      <c r="C61" s="172" t="s">
        <v>133</v>
      </c>
      <c r="D61" s="173" t="s">
        <v>119</v>
      </c>
      <c r="E61" s="174">
        <v>100</v>
      </c>
      <c r="F61" s="175">
        <v>7.1</v>
      </c>
      <c r="G61" s="176">
        <v>77.1</v>
      </c>
      <c r="H61" s="177">
        <v>1.2</v>
      </c>
      <c r="I61" s="471"/>
    </row>
    <row r="62" spans="2:9" ht="21">
      <c r="B62" s="345">
        <v>58</v>
      </c>
      <c r="C62" s="178" t="s">
        <v>134</v>
      </c>
      <c r="D62" s="173" t="s">
        <v>19</v>
      </c>
      <c r="E62" s="179">
        <v>100</v>
      </c>
      <c r="F62" s="175">
        <v>22</v>
      </c>
      <c r="G62" s="176">
        <v>0</v>
      </c>
      <c r="H62" s="177">
        <v>4.1</v>
      </c>
      <c r="I62" s="471"/>
    </row>
    <row r="63" spans="2:9" ht="21">
      <c r="B63" s="345">
        <v>59</v>
      </c>
      <c r="C63" s="178" t="s">
        <v>135</v>
      </c>
      <c r="D63" s="173" t="s">
        <v>19</v>
      </c>
      <c r="E63" s="179">
        <v>100</v>
      </c>
      <c r="F63" s="175">
        <v>26</v>
      </c>
      <c r="G63" s="176">
        <v>1.4</v>
      </c>
      <c r="H63" s="177">
        <v>22</v>
      </c>
      <c r="I63" s="471"/>
    </row>
    <row r="64" spans="2:9" ht="21">
      <c r="B64" s="345">
        <v>60</v>
      </c>
      <c r="C64" s="172" t="s">
        <v>136</v>
      </c>
      <c r="D64" s="173" t="s">
        <v>19</v>
      </c>
      <c r="E64" s="174">
        <v>100</v>
      </c>
      <c r="F64" s="175">
        <v>0.9</v>
      </c>
      <c r="G64" s="176">
        <v>9.6</v>
      </c>
      <c r="H64" s="177">
        <v>28.5</v>
      </c>
      <c r="I64" s="471"/>
    </row>
    <row r="65" spans="2:9" ht="21">
      <c r="B65" s="345">
        <v>61</v>
      </c>
      <c r="C65" s="178" t="s">
        <v>137</v>
      </c>
      <c r="D65" s="173" t="s">
        <v>19</v>
      </c>
      <c r="E65" s="179">
        <v>100</v>
      </c>
      <c r="F65" s="175">
        <v>0.5</v>
      </c>
      <c r="G65" s="176">
        <v>81</v>
      </c>
      <c r="H65" s="177">
        <v>0</v>
      </c>
      <c r="I65" s="471"/>
    </row>
    <row r="66" spans="2:9" ht="21">
      <c r="B66" s="345">
        <v>62</v>
      </c>
      <c r="C66" s="172" t="s">
        <v>138</v>
      </c>
      <c r="D66" s="173" t="s">
        <v>19</v>
      </c>
      <c r="E66" s="174">
        <v>100</v>
      </c>
      <c r="F66" s="175">
        <v>0.9</v>
      </c>
      <c r="G66" s="176">
        <v>24.1</v>
      </c>
      <c r="H66" s="177">
        <v>0.1</v>
      </c>
      <c r="I66" s="471"/>
    </row>
    <row r="67" spans="2:9" ht="21">
      <c r="B67" s="345">
        <v>63</v>
      </c>
      <c r="C67" s="178" t="s">
        <v>139</v>
      </c>
      <c r="D67" s="173" t="s">
        <v>19</v>
      </c>
      <c r="E67" s="179">
        <v>100</v>
      </c>
      <c r="F67" s="175">
        <v>2.3</v>
      </c>
      <c r="G67" s="176">
        <v>68.1</v>
      </c>
      <c r="H67" s="177">
        <v>0.4</v>
      </c>
      <c r="I67" s="471"/>
    </row>
    <row r="68" spans="2:9" ht="21">
      <c r="B68" s="345">
        <v>64</v>
      </c>
      <c r="C68" s="178" t="s">
        <v>141</v>
      </c>
      <c r="D68" s="173" t="s">
        <v>19</v>
      </c>
      <c r="E68" s="179">
        <v>100</v>
      </c>
      <c r="F68" s="175">
        <v>3.1</v>
      </c>
      <c r="G68" s="176">
        <v>1.1</v>
      </c>
      <c r="H68" s="177">
        <v>0.8</v>
      </c>
      <c r="I68" s="471"/>
    </row>
    <row r="69" spans="1:9" ht="21">
      <c r="A69" s="346"/>
      <c r="B69" s="345">
        <v>65</v>
      </c>
      <c r="C69" s="172"/>
      <c r="D69" s="173"/>
      <c r="E69" s="174"/>
      <c r="F69" s="175"/>
      <c r="G69" s="176"/>
      <c r="H69" s="177"/>
      <c r="I69" s="471"/>
    </row>
    <row r="70" spans="2:9" ht="21">
      <c r="B70" s="345">
        <v>66</v>
      </c>
      <c r="C70" s="172"/>
      <c r="D70" s="173"/>
      <c r="E70" s="174"/>
      <c r="F70" s="175"/>
      <c r="G70" s="176"/>
      <c r="H70" s="177"/>
      <c r="I70" s="471"/>
    </row>
    <row r="71" spans="2:10" ht="21">
      <c r="B71" s="345">
        <v>67</v>
      </c>
      <c r="C71" s="178"/>
      <c r="D71" s="173"/>
      <c r="E71" s="174"/>
      <c r="F71" s="175"/>
      <c r="G71" s="176"/>
      <c r="H71" s="177"/>
      <c r="I71" s="471"/>
      <c r="J71" s="346"/>
    </row>
    <row r="72" spans="2:9" ht="21">
      <c r="B72" s="345">
        <v>68</v>
      </c>
      <c r="C72" s="178"/>
      <c r="D72" s="173"/>
      <c r="E72" s="179"/>
      <c r="F72" s="175"/>
      <c r="G72" s="176"/>
      <c r="H72" s="177"/>
      <c r="I72" s="471"/>
    </row>
    <row r="73" spans="2:9" ht="21">
      <c r="B73" s="345">
        <v>69</v>
      </c>
      <c r="C73" s="178"/>
      <c r="D73" s="173"/>
      <c r="E73" s="174"/>
      <c r="F73" s="175"/>
      <c r="G73" s="176"/>
      <c r="H73" s="177"/>
      <c r="I73" s="471"/>
    </row>
    <row r="74" spans="2:9" ht="21.75" thickBot="1">
      <c r="B74" s="347">
        <v>70</v>
      </c>
      <c r="C74" s="178"/>
      <c r="D74" s="173"/>
      <c r="E74" s="179"/>
      <c r="F74" s="175"/>
      <c r="G74" s="176"/>
      <c r="H74" s="177"/>
      <c r="I74" s="472"/>
    </row>
    <row r="75" spans="2:9" ht="24" thickBot="1">
      <c r="B75" s="464" t="str">
        <f>Two</f>
        <v>Day3</v>
      </c>
      <c r="C75" s="465"/>
      <c r="D75" s="465"/>
      <c r="E75" s="465"/>
      <c r="F75" s="465"/>
      <c r="G75" s="465"/>
      <c r="H75" s="465"/>
      <c r="I75" s="466"/>
    </row>
    <row r="76" spans="2:9" ht="21">
      <c r="B76" s="344">
        <v>71</v>
      </c>
      <c r="C76" s="178" t="s">
        <v>52</v>
      </c>
      <c r="D76" s="173" t="s">
        <v>19</v>
      </c>
      <c r="E76" s="179">
        <v>100</v>
      </c>
      <c r="F76" s="175">
        <v>0.4</v>
      </c>
      <c r="G76" s="176">
        <v>15</v>
      </c>
      <c r="H76" s="177">
        <v>0.1</v>
      </c>
      <c r="I76" s="470" t="str">
        <f>Day3!C14</f>
        <v>Day3</v>
      </c>
    </row>
    <row r="77" spans="2:9" ht="21">
      <c r="B77" s="345">
        <v>72</v>
      </c>
      <c r="C77" s="172" t="s">
        <v>112</v>
      </c>
      <c r="D77" s="173" t="s">
        <v>19</v>
      </c>
      <c r="E77" s="174">
        <v>299</v>
      </c>
      <c r="F77" s="175">
        <v>7.5</v>
      </c>
      <c r="G77" s="176">
        <v>63.2</v>
      </c>
      <c r="H77" s="177">
        <v>0.4</v>
      </c>
      <c r="I77" s="471"/>
    </row>
    <row r="78" spans="2:9" ht="21">
      <c r="B78" s="345">
        <v>73</v>
      </c>
      <c r="C78" s="178" t="s">
        <v>113</v>
      </c>
      <c r="D78" s="173" t="s">
        <v>19</v>
      </c>
      <c r="E78" s="179">
        <v>225</v>
      </c>
      <c r="F78" s="175">
        <v>2</v>
      </c>
      <c r="G78" s="176">
        <v>51</v>
      </c>
      <c r="H78" s="177">
        <v>1</v>
      </c>
      <c r="I78" s="471"/>
    </row>
    <row r="79" spans="2:9" ht="21">
      <c r="B79" s="345">
        <v>74</v>
      </c>
      <c r="C79" s="178" t="s">
        <v>114</v>
      </c>
      <c r="D79" s="173" t="s">
        <v>19</v>
      </c>
      <c r="E79" s="179">
        <v>200</v>
      </c>
      <c r="F79" s="175">
        <v>9.2</v>
      </c>
      <c r="G79" s="176">
        <v>21.5</v>
      </c>
      <c r="H79" s="177">
        <v>0.4</v>
      </c>
      <c r="I79" s="471"/>
    </row>
    <row r="80" spans="2:9" ht="21">
      <c r="B80" s="345">
        <v>75</v>
      </c>
      <c r="C80" s="172" t="s">
        <v>115</v>
      </c>
      <c r="D80" s="173" t="s">
        <v>19</v>
      </c>
      <c r="E80" s="174">
        <v>100</v>
      </c>
      <c r="F80" s="175">
        <v>27</v>
      </c>
      <c r="G80" s="176">
        <v>0</v>
      </c>
      <c r="H80" s="177">
        <v>1.1</v>
      </c>
      <c r="I80" s="471"/>
    </row>
    <row r="81" spans="2:9" ht="21">
      <c r="B81" s="345">
        <v>76</v>
      </c>
      <c r="C81" s="172" t="s">
        <v>116</v>
      </c>
      <c r="D81" s="173" t="s">
        <v>19</v>
      </c>
      <c r="E81" s="174">
        <v>100</v>
      </c>
      <c r="F81" s="175">
        <v>23.09</v>
      </c>
      <c r="G81" s="176">
        <v>0</v>
      </c>
      <c r="H81" s="177">
        <v>1.24</v>
      </c>
      <c r="I81" s="471"/>
    </row>
    <row r="82" spans="2:9" ht="21">
      <c r="B82" s="345">
        <v>77</v>
      </c>
      <c r="C82" s="178" t="s">
        <v>117</v>
      </c>
      <c r="D82" s="173" t="s">
        <v>19</v>
      </c>
      <c r="E82" s="179">
        <v>100</v>
      </c>
      <c r="F82" s="175">
        <v>1.2</v>
      </c>
      <c r="G82" s="176">
        <v>7.9</v>
      </c>
      <c r="H82" s="177">
        <v>0.2</v>
      </c>
      <c r="I82" s="471"/>
    </row>
    <row r="83" spans="2:9" ht="21">
      <c r="B83" s="345">
        <v>78</v>
      </c>
      <c r="C83" s="172" t="s">
        <v>118</v>
      </c>
      <c r="D83" s="173" t="s">
        <v>119</v>
      </c>
      <c r="E83" s="174">
        <v>1</v>
      </c>
      <c r="F83" s="175">
        <v>7.28</v>
      </c>
      <c r="G83" s="176">
        <v>0.56</v>
      </c>
      <c r="H83" s="177">
        <v>5.6</v>
      </c>
      <c r="I83" s="471"/>
    </row>
    <row r="84" spans="2:9" ht="21">
      <c r="B84" s="345">
        <v>79</v>
      </c>
      <c r="C84" s="178" t="s">
        <v>120</v>
      </c>
      <c r="D84" s="173" t="s">
        <v>19</v>
      </c>
      <c r="E84" s="174">
        <v>100</v>
      </c>
      <c r="F84" s="175">
        <v>7.9</v>
      </c>
      <c r="G84" s="176">
        <v>70.3</v>
      </c>
      <c r="H84" s="177">
        <v>1.5</v>
      </c>
      <c r="I84" s="471"/>
    </row>
    <row r="85" spans="2:9" ht="21">
      <c r="B85" s="345">
        <v>80</v>
      </c>
      <c r="C85" s="178" t="s">
        <v>121</v>
      </c>
      <c r="D85" s="173" t="s">
        <v>19</v>
      </c>
      <c r="E85" s="174">
        <v>13</v>
      </c>
      <c r="F85" s="175">
        <v>0.2</v>
      </c>
      <c r="G85" s="176">
        <v>0.2</v>
      </c>
      <c r="H85" s="177">
        <v>10</v>
      </c>
      <c r="I85" s="471"/>
    </row>
    <row r="86" spans="2:9" ht="21">
      <c r="B86" s="345">
        <v>81</v>
      </c>
      <c r="C86" s="172" t="s">
        <v>122</v>
      </c>
      <c r="D86" s="173" t="s">
        <v>19</v>
      </c>
      <c r="E86" s="174">
        <v>100</v>
      </c>
      <c r="F86" s="175">
        <v>3.6</v>
      </c>
      <c r="G86" s="176">
        <v>2.6</v>
      </c>
      <c r="H86" s="177">
        <v>1.7</v>
      </c>
      <c r="I86" s="471"/>
    </row>
    <row r="87" spans="2:9" ht="21">
      <c r="B87" s="345">
        <v>82</v>
      </c>
      <c r="C87" s="178" t="s">
        <v>123</v>
      </c>
      <c r="D87" s="173" t="s">
        <v>19</v>
      </c>
      <c r="E87" s="174">
        <v>100</v>
      </c>
      <c r="F87" s="175">
        <v>2.4</v>
      </c>
      <c r="G87" s="176">
        <v>23</v>
      </c>
      <c r="H87" s="177">
        <v>3.6</v>
      </c>
      <c r="I87" s="471"/>
    </row>
    <row r="88" spans="2:9" ht="21">
      <c r="B88" s="345">
        <v>83</v>
      </c>
      <c r="C88" s="172" t="s">
        <v>124</v>
      </c>
      <c r="D88" s="173" t="s">
        <v>19</v>
      </c>
      <c r="E88" s="174">
        <v>30</v>
      </c>
      <c r="F88" s="175">
        <v>25.5</v>
      </c>
      <c r="G88" s="176">
        <v>4.5</v>
      </c>
      <c r="H88" s="177">
        <v>0.45</v>
      </c>
      <c r="I88" s="471"/>
    </row>
    <row r="89" spans="2:9" ht="21">
      <c r="B89" s="345">
        <v>84</v>
      </c>
      <c r="C89" s="178" t="s">
        <v>125</v>
      </c>
      <c r="D89" s="173" t="s">
        <v>119</v>
      </c>
      <c r="E89" s="179">
        <v>1</v>
      </c>
      <c r="F89" s="175">
        <v>-2.7</v>
      </c>
      <c r="G89" s="176">
        <v>-0.61</v>
      </c>
      <c r="H89" s="177">
        <v>-4.51</v>
      </c>
      <c r="I89" s="471"/>
    </row>
    <row r="90" spans="2:9" ht="21">
      <c r="B90" s="345">
        <v>85</v>
      </c>
      <c r="C90" s="178" t="s">
        <v>126</v>
      </c>
      <c r="D90" s="173" t="s">
        <v>19</v>
      </c>
      <c r="E90" s="179">
        <v>25</v>
      </c>
      <c r="F90" s="175">
        <v>18.86</v>
      </c>
      <c r="G90" s="176">
        <v>1.5</v>
      </c>
      <c r="H90" s="177">
        <v>1.7</v>
      </c>
      <c r="I90" s="471"/>
    </row>
    <row r="91" spans="2:9" ht="21">
      <c r="B91" s="345">
        <v>86</v>
      </c>
      <c r="C91" s="178" t="s">
        <v>127</v>
      </c>
      <c r="D91" s="173" t="s">
        <v>19</v>
      </c>
      <c r="E91" s="174">
        <v>100</v>
      </c>
      <c r="F91" s="175">
        <v>12.5</v>
      </c>
      <c r="G91" s="176">
        <v>68.3</v>
      </c>
      <c r="H91" s="177">
        <v>6.4</v>
      </c>
      <c r="I91" s="471"/>
    </row>
    <row r="92" spans="2:9" ht="21">
      <c r="B92" s="345">
        <v>87</v>
      </c>
      <c r="C92" s="178" t="s">
        <v>128</v>
      </c>
      <c r="D92" s="173" t="s">
        <v>19</v>
      </c>
      <c r="E92" s="179">
        <v>100</v>
      </c>
      <c r="F92" s="175">
        <v>24.9</v>
      </c>
      <c r="G92" s="176">
        <v>10.1</v>
      </c>
      <c r="H92" s="177">
        <v>50.2</v>
      </c>
      <c r="I92" s="471"/>
    </row>
    <row r="93" spans="2:9" ht="21">
      <c r="B93" s="345">
        <v>88</v>
      </c>
      <c r="C93" s="172" t="s">
        <v>129</v>
      </c>
      <c r="D93" s="173" t="s">
        <v>19</v>
      </c>
      <c r="E93" s="174">
        <v>100</v>
      </c>
      <c r="F93" s="175">
        <v>29.6</v>
      </c>
      <c r="G93" s="176">
        <v>11.6</v>
      </c>
      <c r="H93" s="177">
        <v>46</v>
      </c>
      <c r="I93" s="471"/>
    </row>
    <row r="94" spans="2:9" ht="21">
      <c r="B94" s="345">
        <v>89</v>
      </c>
      <c r="C94" s="172" t="s">
        <v>130</v>
      </c>
      <c r="D94" s="173" t="s">
        <v>19</v>
      </c>
      <c r="E94" s="174">
        <v>100</v>
      </c>
      <c r="F94" s="175">
        <v>4.9</v>
      </c>
      <c r="G94" s="176">
        <v>7.5</v>
      </c>
      <c r="H94" s="177">
        <v>0.7</v>
      </c>
      <c r="I94" s="471"/>
    </row>
    <row r="95" spans="2:9" ht="21">
      <c r="B95" s="345">
        <v>90</v>
      </c>
      <c r="C95" s="172" t="s">
        <v>131</v>
      </c>
      <c r="D95" s="173" t="s">
        <v>19</v>
      </c>
      <c r="E95" s="174">
        <v>30</v>
      </c>
      <c r="F95" s="175">
        <v>26.5</v>
      </c>
      <c r="G95" s="176">
        <v>0.28</v>
      </c>
      <c r="H95" s="177">
        <v>0</v>
      </c>
      <c r="I95" s="471"/>
    </row>
    <row r="96" spans="2:9" ht="21">
      <c r="B96" s="345">
        <v>91</v>
      </c>
      <c r="C96" s="178" t="s">
        <v>132</v>
      </c>
      <c r="D96" s="173" t="s">
        <v>19</v>
      </c>
      <c r="E96" s="179">
        <v>100</v>
      </c>
      <c r="F96" s="175">
        <v>0</v>
      </c>
      <c r="G96" s="176">
        <v>0</v>
      </c>
      <c r="H96" s="177">
        <v>100</v>
      </c>
      <c r="I96" s="471"/>
    </row>
    <row r="97" spans="2:9" ht="21">
      <c r="B97" s="345">
        <v>92</v>
      </c>
      <c r="C97" s="172" t="s">
        <v>133</v>
      </c>
      <c r="D97" s="173" t="s">
        <v>119</v>
      </c>
      <c r="E97" s="174">
        <v>100</v>
      </c>
      <c r="F97" s="175">
        <v>7.1</v>
      </c>
      <c r="G97" s="176">
        <v>77.1</v>
      </c>
      <c r="H97" s="177">
        <v>1.2</v>
      </c>
      <c r="I97" s="471"/>
    </row>
    <row r="98" spans="2:9" ht="21">
      <c r="B98" s="345">
        <v>93</v>
      </c>
      <c r="C98" s="178" t="s">
        <v>134</v>
      </c>
      <c r="D98" s="173" t="s">
        <v>19</v>
      </c>
      <c r="E98" s="179">
        <v>100</v>
      </c>
      <c r="F98" s="175">
        <v>22</v>
      </c>
      <c r="G98" s="176">
        <v>0</v>
      </c>
      <c r="H98" s="177">
        <v>4.1</v>
      </c>
      <c r="I98" s="471"/>
    </row>
    <row r="99" spans="2:9" ht="21">
      <c r="B99" s="345">
        <v>94</v>
      </c>
      <c r="C99" s="178" t="s">
        <v>135</v>
      </c>
      <c r="D99" s="173" t="s">
        <v>19</v>
      </c>
      <c r="E99" s="179">
        <v>100</v>
      </c>
      <c r="F99" s="175">
        <v>26</v>
      </c>
      <c r="G99" s="176">
        <v>1.4</v>
      </c>
      <c r="H99" s="177">
        <v>22</v>
      </c>
      <c r="I99" s="471"/>
    </row>
    <row r="100" spans="2:9" ht="21">
      <c r="B100" s="345">
        <v>95</v>
      </c>
      <c r="C100" s="172" t="s">
        <v>136</v>
      </c>
      <c r="D100" s="173" t="s">
        <v>19</v>
      </c>
      <c r="E100" s="174">
        <v>100</v>
      </c>
      <c r="F100" s="175">
        <v>0.9</v>
      </c>
      <c r="G100" s="176">
        <v>9.6</v>
      </c>
      <c r="H100" s="177">
        <v>28.5</v>
      </c>
      <c r="I100" s="471"/>
    </row>
    <row r="101" spans="2:9" ht="21">
      <c r="B101" s="345">
        <v>96</v>
      </c>
      <c r="C101" s="178" t="s">
        <v>137</v>
      </c>
      <c r="D101" s="173" t="s">
        <v>19</v>
      </c>
      <c r="E101" s="179">
        <v>100</v>
      </c>
      <c r="F101" s="175">
        <v>0.5</v>
      </c>
      <c r="G101" s="176">
        <v>81</v>
      </c>
      <c r="H101" s="177">
        <v>0</v>
      </c>
      <c r="I101" s="471"/>
    </row>
    <row r="102" spans="2:9" ht="21">
      <c r="B102" s="345">
        <v>97</v>
      </c>
      <c r="C102" s="172" t="s">
        <v>138</v>
      </c>
      <c r="D102" s="173" t="s">
        <v>19</v>
      </c>
      <c r="E102" s="174">
        <v>100</v>
      </c>
      <c r="F102" s="175">
        <v>0.9</v>
      </c>
      <c r="G102" s="176">
        <v>24.1</v>
      </c>
      <c r="H102" s="177">
        <v>0.1</v>
      </c>
      <c r="I102" s="471"/>
    </row>
    <row r="103" spans="2:9" ht="21">
      <c r="B103" s="345">
        <v>98</v>
      </c>
      <c r="C103" s="178" t="s">
        <v>139</v>
      </c>
      <c r="D103" s="173" t="s">
        <v>19</v>
      </c>
      <c r="E103" s="179">
        <v>100</v>
      </c>
      <c r="F103" s="175">
        <v>2.3</v>
      </c>
      <c r="G103" s="176">
        <v>68.1</v>
      </c>
      <c r="H103" s="177">
        <v>0.4</v>
      </c>
      <c r="I103" s="471"/>
    </row>
    <row r="104" spans="2:9" ht="21">
      <c r="B104" s="345">
        <v>99</v>
      </c>
      <c r="C104" s="178" t="s">
        <v>141</v>
      </c>
      <c r="D104" s="173" t="s">
        <v>19</v>
      </c>
      <c r="E104" s="179">
        <v>100</v>
      </c>
      <c r="F104" s="175">
        <v>3.1</v>
      </c>
      <c r="G104" s="176">
        <v>1.1</v>
      </c>
      <c r="H104" s="177">
        <v>0.8</v>
      </c>
      <c r="I104" s="471"/>
    </row>
    <row r="105" spans="2:9" ht="21">
      <c r="B105" s="345">
        <v>100</v>
      </c>
      <c r="C105" s="172"/>
      <c r="D105" s="173"/>
      <c r="E105" s="174"/>
      <c r="F105" s="175"/>
      <c r="G105" s="176"/>
      <c r="H105" s="177"/>
      <c r="I105" s="471"/>
    </row>
    <row r="106" spans="2:9" ht="21">
      <c r="B106" s="345">
        <v>101</v>
      </c>
      <c r="C106" s="172"/>
      <c r="D106" s="173"/>
      <c r="E106" s="174"/>
      <c r="F106" s="175"/>
      <c r="G106" s="176"/>
      <c r="H106" s="177"/>
      <c r="I106" s="471"/>
    </row>
    <row r="107" spans="2:9" ht="21">
      <c r="B107" s="345">
        <v>102</v>
      </c>
      <c r="C107" s="178"/>
      <c r="D107" s="173"/>
      <c r="E107" s="174"/>
      <c r="F107" s="175"/>
      <c r="G107" s="176"/>
      <c r="H107" s="177"/>
      <c r="I107" s="471"/>
    </row>
    <row r="108" spans="2:9" ht="21">
      <c r="B108" s="345">
        <v>103</v>
      </c>
      <c r="C108" s="178"/>
      <c r="D108" s="173"/>
      <c r="E108" s="179"/>
      <c r="F108" s="175"/>
      <c r="G108" s="176"/>
      <c r="H108" s="177"/>
      <c r="I108" s="471"/>
    </row>
    <row r="109" spans="2:9" ht="21">
      <c r="B109" s="345">
        <v>104</v>
      </c>
      <c r="C109" s="178"/>
      <c r="D109" s="173"/>
      <c r="E109" s="174"/>
      <c r="F109" s="175"/>
      <c r="G109" s="176"/>
      <c r="H109" s="177"/>
      <c r="I109" s="471"/>
    </row>
    <row r="110" spans="2:9" ht="21.75" thickBot="1">
      <c r="B110" s="347">
        <v>105</v>
      </c>
      <c r="C110" s="178"/>
      <c r="D110" s="173"/>
      <c r="E110" s="179"/>
      <c r="F110" s="175"/>
      <c r="G110" s="176"/>
      <c r="H110" s="177"/>
      <c r="I110" s="472"/>
    </row>
    <row r="111" spans="2:9" ht="24" thickBot="1">
      <c r="B111" s="464" t="str">
        <f>Six</f>
        <v>Day4</v>
      </c>
      <c r="C111" s="465"/>
      <c r="D111" s="465"/>
      <c r="E111" s="465"/>
      <c r="F111" s="465"/>
      <c r="G111" s="465"/>
      <c r="H111" s="465"/>
      <c r="I111" s="466"/>
    </row>
    <row r="112" spans="2:9" ht="21">
      <c r="B112" s="344">
        <v>106</v>
      </c>
      <c r="C112" s="178" t="s">
        <v>52</v>
      </c>
      <c r="D112" s="173" t="s">
        <v>19</v>
      </c>
      <c r="E112" s="179">
        <v>100</v>
      </c>
      <c r="F112" s="175">
        <v>0.4</v>
      </c>
      <c r="G112" s="176">
        <v>15</v>
      </c>
      <c r="H112" s="177">
        <v>0.1</v>
      </c>
      <c r="I112" s="470" t="str">
        <f>Day4!C14</f>
        <v>Day4</v>
      </c>
    </row>
    <row r="113" spans="2:9" ht="21">
      <c r="B113" s="345">
        <v>107</v>
      </c>
      <c r="C113" s="172" t="s">
        <v>112</v>
      </c>
      <c r="D113" s="173" t="s">
        <v>19</v>
      </c>
      <c r="E113" s="174">
        <v>299</v>
      </c>
      <c r="F113" s="175">
        <v>7.5</v>
      </c>
      <c r="G113" s="176">
        <v>63.2</v>
      </c>
      <c r="H113" s="177">
        <v>0.4</v>
      </c>
      <c r="I113" s="471"/>
    </row>
    <row r="114" spans="2:9" ht="21">
      <c r="B114" s="345">
        <v>108</v>
      </c>
      <c r="C114" s="178" t="s">
        <v>113</v>
      </c>
      <c r="D114" s="173" t="s">
        <v>19</v>
      </c>
      <c r="E114" s="179">
        <v>225</v>
      </c>
      <c r="F114" s="175">
        <v>2</v>
      </c>
      <c r="G114" s="176">
        <v>51</v>
      </c>
      <c r="H114" s="177">
        <v>1</v>
      </c>
      <c r="I114" s="471"/>
    </row>
    <row r="115" spans="2:9" ht="21">
      <c r="B115" s="345">
        <v>109</v>
      </c>
      <c r="C115" s="178" t="s">
        <v>114</v>
      </c>
      <c r="D115" s="173" t="s">
        <v>19</v>
      </c>
      <c r="E115" s="179">
        <v>200</v>
      </c>
      <c r="F115" s="175">
        <v>9.2</v>
      </c>
      <c r="G115" s="176">
        <v>21.5</v>
      </c>
      <c r="H115" s="177">
        <v>0.4</v>
      </c>
      <c r="I115" s="471"/>
    </row>
    <row r="116" spans="2:9" ht="21">
      <c r="B116" s="345">
        <v>110</v>
      </c>
      <c r="C116" s="172" t="s">
        <v>115</v>
      </c>
      <c r="D116" s="173" t="s">
        <v>19</v>
      </c>
      <c r="E116" s="174">
        <v>100</v>
      </c>
      <c r="F116" s="175">
        <v>27</v>
      </c>
      <c r="G116" s="176">
        <v>0</v>
      </c>
      <c r="H116" s="177">
        <v>1.1</v>
      </c>
      <c r="I116" s="471"/>
    </row>
    <row r="117" spans="2:9" ht="21">
      <c r="B117" s="345">
        <v>111</v>
      </c>
      <c r="C117" s="172" t="s">
        <v>116</v>
      </c>
      <c r="D117" s="173" t="s">
        <v>19</v>
      </c>
      <c r="E117" s="174">
        <v>100</v>
      </c>
      <c r="F117" s="175">
        <v>23.09</v>
      </c>
      <c r="G117" s="176">
        <v>0</v>
      </c>
      <c r="H117" s="177">
        <v>1.24</v>
      </c>
      <c r="I117" s="471"/>
    </row>
    <row r="118" spans="2:9" ht="21">
      <c r="B118" s="345">
        <v>112</v>
      </c>
      <c r="C118" s="178" t="s">
        <v>117</v>
      </c>
      <c r="D118" s="173" t="s">
        <v>19</v>
      </c>
      <c r="E118" s="179">
        <v>100</v>
      </c>
      <c r="F118" s="175">
        <v>1.2</v>
      </c>
      <c r="G118" s="176">
        <v>7.9</v>
      </c>
      <c r="H118" s="177">
        <v>0.2</v>
      </c>
      <c r="I118" s="471"/>
    </row>
    <row r="119" spans="2:9" ht="21">
      <c r="B119" s="345">
        <v>113</v>
      </c>
      <c r="C119" s="172" t="s">
        <v>118</v>
      </c>
      <c r="D119" s="173" t="s">
        <v>119</v>
      </c>
      <c r="E119" s="174">
        <v>1</v>
      </c>
      <c r="F119" s="175">
        <v>7.28</v>
      </c>
      <c r="G119" s="176">
        <v>0.56</v>
      </c>
      <c r="H119" s="177">
        <v>5.6</v>
      </c>
      <c r="I119" s="471"/>
    </row>
    <row r="120" spans="2:9" ht="21">
      <c r="B120" s="345">
        <v>114</v>
      </c>
      <c r="C120" s="178" t="s">
        <v>120</v>
      </c>
      <c r="D120" s="173" t="s">
        <v>19</v>
      </c>
      <c r="E120" s="174">
        <v>100</v>
      </c>
      <c r="F120" s="175">
        <v>7.9</v>
      </c>
      <c r="G120" s="176">
        <v>70.3</v>
      </c>
      <c r="H120" s="177">
        <v>1.5</v>
      </c>
      <c r="I120" s="471"/>
    </row>
    <row r="121" spans="2:9" ht="21">
      <c r="B121" s="345">
        <v>115</v>
      </c>
      <c r="C121" s="178" t="s">
        <v>121</v>
      </c>
      <c r="D121" s="173" t="s">
        <v>19</v>
      </c>
      <c r="E121" s="174">
        <v>13</v>
      </c>
      <c r="F121" s="175">
        <v>0.2</v>
      </c>
      <c r="G121" s="176">
        <v>0.2</v>
      </c>
      <c r="H121" s="177">
        <v>10</v>
      </c>
      <c r="I121" s="471"/>
    </row>
    <row r="122" spans="2:9" ht="21">
      <c r="B122" s="345">
        <v>116</v>
      </c>
      <c r="C122" s="172" t="s">
        <v>122</v>
      </c>
      <c r="D122" s="173" t="s">
        <v>19</v>
      </c>
      <c r="E122" s="174">
        <v>100</v>
      </c>
      <c r="F122" s="175">
        <v>3.6</v>
      </c>
      <c r="G122" s="176">
        <v>2.6</v>
      </c>
      <c r="H122" s="177">
        <v>1.7</v>
      </c>
      <c r="I122" s="471"/>
    </row>
    <row r="123" spans="2:9" ht="21">
      <c r="B123" s="345">
        <v>117</v>
      </c>
      <c r="C123" s="178" t="s">
        <v>123</v>
      </c>
      <c r="D123" s="173" t="s">
        <v>19</v>
      </c>
      <c r="E123" s="174">
        <v>100</v>
      </c>
      <c r="F123" s="175">
        <v>2.4</v>
      </c>
      <c r="G123" s="176">
        <v>23</v>
      </c>
      <c r="H123" s="177">
        <v>3.6</v>
      </c>
      <c r="I123" s="471"/>
    </row>
    <row r="124" spans="2:9" ht="21">
      <c r="B124" s="345">
        <v>118</v>
      </c>
      <c r="C124" s="172" t="s">
        <v>124</v>
      </c>
      <c r="D124" s="173" t="s">
        <v>19</v>
      </c>
      <c r="E124" s="174">
        <v>30</v>
      </c>
      <c r="F124" s="175">
        <v>25.5</v>
      </c>
      <c r="G124" s="176">
        <v>4.5</v>
      </c>
      <c r="H124" s="177">
        <v>0.45</v>
      </c>
      <c r="I124" s="471"/>
    </row>
    <row r="125" spans="2:9" ht="21">
      <c r="B125" s="345">
        <v>119</v>
      </c>
      <c r="C125" s="178" t="s">
        <v>125</v>
      </c>
      <c r="D125" s="173" t="s">
        <v>119</v>
      </c>
      <c r="E125" s="179">
        <v>1</v>
      </c>
      <c r="F125" s="175">
        <v>-2.7</v>
      </c>
      <c r="G125" s="176">
        <v>-0.61</v>
      </c>
      <c r="H125" s="177">
        <v>-4.51</v>
      </c>
      <c r="I125" s="471"/>
    </row>
    <row r="126" spans="2:9" ht="21">
      <c r="B126" s="345">
        <v>120</v>
      </c>
      <c r="C126" s="178" t="s">
        <v>126</v>
      </c>
      <c r="D126" s="173" t="s">
        <v>19</v>
      </c>
      <c r="E126" s="179">
        <v>25</v>
      </c>
      <c r="F126" s="175">
        <v>18.86</v>
      </c>
      <c r="G126" s="176">
        <v>1.5</v>
      </c>
      <c r="H126" s="177">
        <v>1.7</v>
      </c>
      <c r="I126" s="471"/>
    </row>
    <row r="127" spans="2:9" ht="21">
      <c r="B127" s="345">
        <v>121</v>
      </c>
      <c r="C127" s="178" t="s">
        <v>127</v>
      </c>
      <c r="D127" s="173" t="s">
        <v>19</v>
      </c>
      <c r="E127" s="174">
        <v>100</v>
      </c>
      <c r="F127" s="175">
        <v>12.5</v>
      </c>
      <c r="G127" s="176">
        <v>68.3</v>
      </c>
      <c r="H127" s="177">
        <v>6.4</v>
      </c>
      <c r="I127" s="471"/>
    </row>
    <row r="128" spans="2:9" ht="21">
      <c r="B128" s="345">
        <v>122</v>
      </c>
      <c r="C128" s="178" t="s">
        <v>128</v>
      </c>
      <c r="D128" s="173" t="s">
        <v>19</v>
      </c>
      <c r="E128" s="179">
        <v>100</v>
      </c>
      <c r="F128" s="175">
        <v>24.9</v>
      </c>
      <c r="G128" s="176">
        <v>10.1</v>
      </c>
      <c r="H128" s="177">
        <v>50.2</v>
      </c>
      <c r="I128" s="471"/>
    </row>
    <row r="129" spans="2:9" ht="21">
      <c r="B129" s="345">
        <v>123</v>
      </c>
      <c r="C129" s="172" t="s">
        <v>129</v>
      </c>
      <c r="D129" s="173" t="s">
        <v>19</v>
      </c>
      <c r="E129" s="174">
        <v>100</v>
      </c>
      <c r="F129" s="175">
        <v>29.6</v>
      </c>
      <c r="G129" s="176">
        <v>11.6</v>
      </c>
      <c r="H129" s="177">
        <v>46</v>
      </c>
      <c r="I129" s="471"/>
    </row>
    <row r="130" spans="2:9" ht="21">
      <c r="B130" s="345">
        <v>124</v>
      </c>
      <c r="C130" s="172" t="s">
        <v>130</v>
      </c>
      <c r="D130" s="173" t="s">
        <v>19</v>
      </c>
      <c r="E130" s="174">
        <v>100</v>
      </c>
      <c r="F130" s="175">
        <v>4.9</v>
      </c>
      <c r="G130" s="176">
        <v>7.5</v>
      </c>
      <c r="H130" s="177">
        <v>0.7</v>
      </c>
      <c r="I130" s="471"/>
    </row>
    <row r="131" spans="2:9" ht="21">
      <c r="B131" s="345">
        <v>125</v>
      </c>
      <c r="C131" s="172" t="s">
        <v>131</v>
      </c>
      <c r="D131" s="173" t="s">
        <v>19</v>
      </c>
      <c r="E131" s="174">
        <v>30</v>
      </c>
      <c r="F131" s="175">
        <v>26.5</v>
      </c>
      <c r="G131" s="176">
        <v>0.28</v>
      </c>
      <c r="H131" s="177">
        <v>0</v>
      </c>
      <c r="I131" s="471"/>
    </row>
    <row r="132" spans="2:9" ht="21">
      <c r="B132" s="345">
        <v>126</v>
      </c>
      <c r="C132" s="178" t="s">
        <v>132</v>
      </c>
      <c r="D132" s="173" t="s">
        <v>19</v>
      </c>
      <c r="E132" s="179">
        <v>100</v>
      </c>
      <c r="F132" s="175">
        <v>0</v>
      </c>
      <c r="G132" s="176">
        <v>0</v>
      </c>
      <c r="H132" s="177">
        <v>100</v>
      </c>
      <c r="I132" s="471"/>
    </row>
    <row r="133" spans="2:9" ht="21">
      <c r="B133" s="345">
        <v>127</v>
      </c>
      <c r="C133" s="172" t="s">
        <v>133</v>
      </c>
      <c r="D133" s="173" t="s">
        <v>119</v>
      </c>
      <c r="E133" s="174">
        <v>100</v>
      </c>
      <c r="F133" s="175">
        <v>7.1</v>
      </c>
      <c r="G133" s="176">
        <v>77.1</v>
      </c>
      <c r="H133" s="177">
        <v>1.2</v>
      </c>
      <c r="I133" s="471"/>
    </row>
    <row r="134" spans="2:9" ht="21">
      <c r="B134" s="345">
        <v>128</v>
      </c>
      <c r="C134" s="178" t="s">
        <v>134</v>
      </c>
      <c r="D134" s="173" t="s">
        <v>19</v>
      </c>
      <c r="E134" s="179">
        <v>100</v>
      </c>
      <c r="F134" s="175">
        <v>22</v>
      </c>
      <c r="G134" s="176">
        <v>0</v>
      </c>
      <c r="H134" s="177">
        <v>4.1</v>
      </c>
      <c r="I134" s="471"/>
    </row>
    <row r="135" spans="2:9" ht="21">
      <c r="B135" s="345">
        <v>129</v>
      </c>
      <c r="C135" s="178" t="s">
        <v>135</v>
      </c>
      <c r="D135" s="173" t="s">
        <v>19</v>
      </c>
      <c r="E135" s="179">
        <v>100</v>
      </c>
      <c r="F135" s="175">
        <v>26</v>
      </c>
      <c r="G135" s="176">
        <v>1.4</v>
      </c>
      <c r="H135" s="177">
        <v>22</v>
      </c>
      <c r="I135" s="471"/>
    </row>
    <row r="136" spans="2:9" ht="21">
      <c r="B136" s="345">
        <v>130</v>
      </c>
      <c r="C136" s="172" t="s">
        <v>136</v>
      </c>
      <c r="D136" s="173" t="s">
        <v>19</v>
      </c>
      <c r="E136" s="174">
        <v>100</v>
      </c>
      <c r="F136" s="175">
        <v>0.9</v>
      </c>
      <c r="G136" s="176">
        <v>9.6</v>
      </c>
      <c r="H136" s="177">
        <v>28.5</v>
      </c>
      <c r="I136" s="471"/>
    </row>
    <row r="137" spans="2:9" ht="21">
      <c r="B137" s="345">
        <v>131</v>
      </c>
      <c r="C137" s="178" t="s">
        <v>137</v>
      </c>
      <c r="D137" s="173" t="s">
        <v>19</v>
      </c>
      <c r="E137" s="179">
        <v>100</v>
      </c>
      <c r="F137" s="175">
        <v>0.5</v>
      </c>
      <c r="G137" s="176">
        <v>81</v>
      </c>
      <c r="H137" s="177">
        <v>0</v>
      </c>
      <c r="I137" s="471"/>
    </row>
    <row r="138" spans="2:9" ht="21">
      <c r="B138" s="345">
        <v>132</v>
      </c>
      <c r="C138" s="172" t="s">
        <v>138</v>
      </c>
      <c r="D138" s="173" t="s">
        <v>19</v>
      </c>
      <c r="E138" s="174">
        <v>100</v>
      </c>
      <c r="F138" s="175">
        <v>0.9</v>
      </c>
      <c r="G138" s="176">
        <v>24.1</v>
      </c>
      <c r="H138" s="177">
        <v>0.1</v>
      </c>
      <c r="I138" s="471"/>
    </row>
    <row r="139" spans="2:9" ht="21">
      <c r="B139" s="345">
        <v>133</v>
      </c>
      <c r="C139" s="178" t="s">
        <v>139</v>
      </c>
      <c r="D139" s="173" t="s">
        <v>19</v>
      </c>
      <c r="E139" s="179">
        <v>100</v>
      </c>
      <c r="F139" s="175">
        <v>2.3</v>
      </c>
      <c r="G139" s="176">
        <v>68.1</v>
      </c>
      <c r="H139" s="177">
        <v>0.4</v>
      </c>
      <c r="I139" s="471"/>
    </row>
    <row r="140" spans="2:9" ht="21">
      <c r="B140" s="345">
        <v>134</v>
      </c>
      <c r="C140" s="178" t="s">
        <v>141</v>
      </c>
      <c r="D140" s="173" t="s">
        <v>19</v>
      </c>
      <c r="E140" s="179">
        <v>100</v>
      </c>
      <c r="F140" s="175">
        <v>3.1</v>
      </c>
      <c r="G140" s="176">
        <v>1.1</v>
      </c>
      <c r="H140" s="177">
        <v>0.8</v>
      </c>
      <c r="I140" s="471"/>
    </row>
    <row r="141" spans="2:9" ht="21">
      <c r="B141" s="345">
        <v>135</v>
      </c>
      <c r="C141" s="172"/>
      <c r="D141" s="173"/>
      <c r="E141" s="174"/>
      <c r="F141" s="175"/>
      <c r="G141" s="176"/>
      <c r="H141" s="177"/>
      <c r="I141" s="471"/>
    </row>
    <row r="142" spans="2:9" ht="21">
      <c r="B142" s="345">
        <v>136</v>
      </c>
      <c r="C142" s="172"/>
      <c r="D142" s="173"/>
      <c r="E142" s="174"/>
      <c r="F142" s="175"/>
      <c r="G142" s="176"/>
      <c r="H142" s="177"/>
      <c r="I142" s="471"/>
    </row>
    <row r="143" spans="2:9" ht="21">
      <c r="B143" s="345">
        <v>137</v>
      </c>
      <c r="C143" s="178"/>
      <c r="D143" s="173"/>
      <c r="E143" s="174"/>
      <c r="F143" s="175"/>
      <c r="G143" s="176"/>
      <c r="H143" s="177"/>
      <c r="I143" s="471"/>
    </row>
    <row r="144" spans="2:9" ht="21">
      <c r="B144" s="345">
        <v>138</v>
      </c>
      <c r="C144" s="178"/>
      <c r="D144" s="173"/>
      <c r="E144" s="179"/>
      <c r="F144" s="175"/>
      <c r="G144" s="176"/>
      <c r="H144" s="177"/>
      <c r="I144" s="471"/>
    </row>
    <row r="145" spans="2:9" ht="21">
      <c r="B145" s="345">
        <v>139</v>
      </c>
      <c r="C145" s="178"/>
      <c r="D145" s="173"/>
      <c r="E145" s="174"/>
      <c r="F145" s="175"/>
      <c r="G145" s="176"/>
      <c r="H145" s="177"/>
      <c r="I145" s="471"/>
    </row>
    <row r="146" spans="2:9" ht="21.75" thickBot="1">
      <c r="B146" s="347">
        <v>140</v>
      </c>
      <c r="C146" s="178"/>
      <c r="D146" s="173"/>
      <c r="E146" s="179"/>
      <c r="F146" s="175"/>
      <c r="G146" s="176"/>
      <c r="H146" s="177"/>
      <c r="I146" s="472"/>
    </row>
    <row r="147" spans="2:9" ht="24" thickBot="1">
      <c r="B147" s="464" t="str">
        <f>Three</f>
        <v>Day5</v>
      </c>
      <c r="C147" s="465"/>
      <c r="D147" s="465"/>
      <c r="E147" s="465"/>
      <c r="F147" s="465"/>
      <c r="G147" s="465"/>
      <c r="H147" s="465"/>
      <c r="I147" s="466"/>
    </row>
    <row r="148" spans="2:9" ht="21">
      <c r="B148" s="344">
        <v>141</v>
      </c>
      <c r="C148" s="178" t="s">
        <v>52</v>
      </c>
      <c r="D148" s="173" t="s">
        <v>19</v>
      </c>
      <c r="E148" s="179">
        <v>100</v>
      </c>
      <c r="F148" s="175">
        <v>0.4</v>
      </c>
      <c r="G148" s="176">
        <v>15</v>
      </c>
      <c r="H148" s="177">
        <v>0.1</v>
      </c>
      <c r="I148" s="470" t="str">
        <f>Day5!C14</f>
        <v>Day5</v>
      </c>
    </row>
    <row r="149" spans="2:9" ht="21">
      <c r="B149" s="345">
        <v>142</v>
      </c>
      <c r="C149" s="172" t="s">
        <v>112</v>
      </c>
      <c r="D149" s="173" t="s">
        <v>19</v>
      </c>
      <c r="E149" s="174">
        <v>299</v>
      </c>
      <c r="F149" s="175">
        <v>7.5</v>
      </c>
      <c r="G149" s="176">
        <v>63.2</v>
      </c>
      <c r="H149" s="177">
        <v>0.4</v>
      </c>
      <c r="I149" s="471"/>
    </row>
    <row r="150" spans="2:9" ht="21">
      <c r="B150" s="345">
        <v>143</v>
      </c>
      <c r="C150" s="178" t="s">
        <v>113</v>
      </c>
      <c r="D150" s="173" t="s">
        <v>19</v>
      </c>
      <c r="E150" s="179">
        <v>225</v>
      </c>
      <c r="F150" s="175">
        <v>2</v>
      </c>
      <c r="G150" s="176">
        <v>51</v>
      </c>
      <c r="H150" s="177">
        <v>1</v>
      </c>
      <c r="I150" s="471"/>
    </row>
    <row r="151" spans="2:9" ht="21">
      <c r="B151" s="345">
        <v>144</v>
      </c>
      <c r="C151" s="178" t="s">
        <v>114</v>
      </c>
      <c r="D151" s="173" t="s">
        <v>19</v>
      </c>
      <c r="E151" s="179">
        <v>200</v>
      </c>
      <c r="F151" s="175">
        <v>9.2</v>
      </c>
      <c r="G151" s="176">
        <v>21.5</v>
      </c>
      <c r="H151" s="177">
        <v>0.4</v>
      </c>
      <c r="I151" s="471"/>
    </row>
    <row r="152" spans="2:9" ht="21">
      <c r="B152" s="345">
        <v>145</v>
      </c>
      <c r="C152" s="172" t="s">
        <v>115</v>
      </c>
      <c r="D152" s="173" t="s">
        <v>19</v>
      </c>
      <c r="E152" s="174">
        <v>100</v>
      </c>
      <c r="F152" s="175">
        <v>27</v>
      </c>
      <c r="G152" s="176">
        <v>0</v>
      </c>
      <c r="H152" s="177">
        <v>1.1</v>
      </c>
      <c r="I152" s="471"/>
    </row>
    <row r="153" spans="2:9" ht="21">
      <c r="B153" s="345">
        <v>146</v>
      </c>
      <c r="C153" s="172" t="s">
        <v>116</v>
      </c>
      <c r="D153" s="173" t="s">
        <v>19</v>
      </c>
      <c r="E153" s="174">
        <v>100</v>
      </c>
      <c r="F153" s="175">
        <v>23.09</v>
      </c>
      <c r="G153" s="176">
        <v>0</v>
      </c>
      <c r="H153" s="177">
        <v>1.24</v>
      </c>
      <c r="I153" s="471"/>
    </row>
    <row r="154" spans="2:9" ht="21">
      <c r="B154" s="345">
        <v>147</v>
      </c>
      <c r="C154" s="178" t="s">
        <v>117</v>
      </c>
      <c r="D154" s="173" t="s">
        <v>19</v>
      </c>
      <c r="E154" s="179">
        <v>100</v>
      </c>
      <c r="F154" s="175">
        <v>1.2</v>
      </c>
      <c r="G154" s="176">
        <v>7.9</v>
      </c>
      <c r="H154" s="177">
        <v>0.2</v>
      </c>
      <c r="I154" s="471"/>
    </row>
    <row r="155" spans="2:9" ht="21">
      <c r="B155" s="345">
        <v>148</v>
      </c>
      <c r="C155" s="172" t="s">
        <v>118</v>
      </c>
      <c r="D155" s="173" t="s">
        <v>119</v>
      </c>
      <c r="E155" s="174">
        <v>1</v>
      </c>
      <c r="F155" s="175">
        <v>7.28</v>
      </c>
      <c r="G155" s="176">
        <v>0.56</v>
      </c>
      <c r="H155" s="177">
        <v>5.6</v>
      </c>
      <c r="I155" s="471"/>
    </row>
    <row r="156" spans="2:9" ht="21">
      <c r="B156" s="345">
        <v>149</v>
      </c>
      <c r="C156" s="178" t="s">
        <v>120</v>
      </c>
      <c r="D156" s="173" t="s">
        <v>19</v>
      </c>
      <c r="E156" s="174">
        <v>100</v>
      </c>
      <c r="F156" s="175">
        <v>7.9</v>
      </c>
      <c r="G156" s="176">
        <v>70.3</v>
      </c>
      <c r="H156" s="177">
        <v>1.5</v>
      </c>
      <c r="I156" s="471"/>
    </row>
    <row r="157" spans="2:9" ht="21">
      <c r="B157" s="345">
        <v>150</v>
      </c>
      <c r="C157" s="178" t="s">
        <v>121</v>
      </c>
      <c r="D157" s="173" t="s">
        <v>19</v>
      </c>
      <c r="E157" s="174">
        <v>13</v>
      </c>
      <c r="F157" s="175">
        <v>0.2</v>
      </c>
      <c r="G157" s="176">
        <v>0.2</v>
      </c>
      <c r="H157" s="177">
        <v>10</v>
      </c>
      <c r="I157" s="471"/>
    </row>
    <row r="158" spans="2:9" ht="21">
      <c r="B158" s="345">
        <v>151</v>
      </c>
      <c r="C158" s="172" t="s">
        <v>122</v>
      </c>
      <c r="D158" s="173" t="s">
        <v>19</v>
      </c>
      <c r="E158" s="174">
        <v>100</v>
      </c>
      <c r="F158" s="175">
        <v>3.6</v>
      </c>
      <c r="G158" s="176">
        <v>2.6</v>
      </c>
      <c r="H158" s="177">
        <v>1.7</v>
      </c>
      <c r="I158" s="471"/>
    </row>
    <row r="159" spans="2:9" ht="21">
      <c r="B159" s="345">
        <v>152</v>
      </c>
      <c r="C159" s="178" t="s">
        <v>123</v>
      </c>
      <c r="D159" s="173" t="s">
        <v>19</v>
      </c>
      <c r="E159" s="174">
        <v>100</v>
      </c>
      <c r="F159" s="175">
        <v>2.4</v>
      </c>
      <c r="G159" s="176">
        <v>23</v>
      </c>
      <c r="H159" s="177">
        <v>3.6</v>
      </c>
      <c r="I159" s="471"/>
    </row>
    <row r="160" spans="2:9" ht="21">
      <c r="B160" s="345">
        <v>153</v>
      </c>
      <c r="C160" s="172" t="s">
        <v>124</v>
      </c>
      <c r="D160" s="173" t="s">
        <v>19</v>
      </c>
      <c r="E160" s="174">
        <v>30</v>
      </c>
      <c r="F160" s="175">
        <v>25.5</v>
      </c>
      <c r="G160" s="176">
        <v>4.5</v>
      </c>
      <c r="H160" s="177">
        <v>0.45</v>
      </c>
      <c r="I160" s="471"/>
    </row>
    <row r="161" spans="2:9" ht="21">
      <c r="B161" s="345">
        <v>154</v>
      </c>
      <c r="C161" s="178" t="s">
        <v>125</v>
      </c>
      <c r="D161" s="173" t="s">
        <v>119</v>
      </c>
      <c r="E161" s="179">
        <v>1</v>
      </c>
      <c r="F161" s="175">
        <v>-2.7</v>
      </c>
      <c r="G161" s="176">
        <v>-0.61</v>
      </c>
      <c r="H161" s="177">
        <v>-4.51</v>
      </c>
      <c r="I161" s="471"/>
    </row>
    <row r="162" spans="2:10" ht="21">
      <c r="B162" s="345">
        <v>155</v>
      </c>
      <c r="C162" s="178" t="s">
        <v>126</v>
      </c>
      <c r="D162" s="173" t="s">
        <v>19</v>
      </c>
      <c r="E162" s="179">
        <v>25</v>
      </c>
      <c r="F162" s="175">
        <v>18.86</v>
      </c>
      <c r="G162" s="176">
        <v>1.5</v>
      </c>
      <c r="H162" s="177">
        <v>1.7</v>
      </c>
      <c r="I162" s="471"/>
      <c r="J162" s="346"/>
    </row>
    <row r="163" spans="2:9" ht="21">
      <c r="B163" s="345">
        <v>156</v>
      </c>
      <c r="C163" s="178" t="s">
        <v>127</v>
      </c>
      <c r="D163" s="173" t="s">
        <v>19</v>
      </c>
      <c r="E163" s="174">
        <v>100</v>
      </c>
      <c r="F163" s="175">
        <v>12.5</v>
      </c>
      <c r="G163" s="176">
        <v>68.3</v>
      </c>
      <c r="H163" s="177">
        <v>6.4</v>
      </c>
      <c r="I163" s="471"/>
    </row>
    <row r="164" spans="2:9" ht="21">
      <c r="B164" s="345">
        <v>157</v>
      </c>
      <c r="C164" s="178" t="s">
        <v>128</v>
      </c>
      <c r="D164" s="173" t="s">
        <v>19</v>
      </c>
      <c r="E164" s="179">
        <v>100</v>
      </c>
      <c r="F164" s="175">
        <v>24.9</v>
      </c>
      <c r="G164" s="176">
        <v>10.1</v>
      </c>
      <c r="H164" s="177">
        <v>50.2</v>
      </c>
      <c r="I164" s="471"/>
    </row>
    <row r="165" spans="2:9" ht="21">
      <c r="B165" s="345">
        <v>158</v>
      </c>
      <c r="C165" s="172" t="s">
        <v>129</v>
      </c>
      <c r="D165" s="173" t="s">
        <v>19</v>
      </c>
      <c r="E165" s="174">
        <v>100</v>
      </c>
      <c r="F165" s="175">
        <v>29.6</v>
      </c>
      <c r="G165" s="176">
        <v>11.6</v>
      </c>
      <c r="H165" s="177">
        <v>46</v>
      </c>
      <c r="I165" s="471"/>
    </row>
    <row r="166" spans="2:9" ht="21">
      <c r="B166" s="345">
        <v>159</v>
      </c>
      <c r="C166" s="172" t="s">
        <v>130</v>
      </c>
      <c r="D166" s="173" t="s">
        <v>19</v>
      </c>
      <c r="E166" s="174">
        <v>100</v>
      </c>
      <c r="F166" s="175">
        <v>4.9</v>
      </c>
      <c r="G166" s="176">
        <v>7.5</v>
      </c>
      <c r="H166" s="177">
        <v>0.7</v>
      </c>
      <c r="I166" s="471"/>
    </row>
    <row r="167" spans="2:9" ht="21">
      <c r="B167" s="345">
        <v>160</v>
      </c>
      <c r="C167" s="172" t="s">
        <v>131</v>
      </c>
      <c r="D167" s="173" t="s">
        <v>19</v>
      </c>
      <c r="E167" s="174">
        <v>30</v>
      </c>
      <c r="F167" s="175">
        <v>26.5</v>
      </c>
      <c r="G167" s="176">
        <v>0.28</v>
      </c>
      <c r="H167" s="177">
        <v>0</v>
      </c>
      <c r="I167" s="471"/>
    </row>
    <row r="168" spans="2:9" ht="21">
      <c r="B168" s="345">
        <v>161</v>
      </c>
      <c r="C168" s="178" t="s">
        <v>132</v>
      </c>
      <c r="D168" s="173" t="s">
        <v>19</v>
      </c>
      <c r="E168" s="179">
        <v>100</v>
      </c>
      <c r="F168" s="175">
        <v>0</v>
      </c>
      <c r="G168" s="176">
        <v>0</v>
      </c>
      <c r="H168" s="177">
        <v>100</v>
      </c>
      <c r="I168" s="471"/>
    </row>
    <row r="169" spans="2:9" ht="21">
      <c r="B169" s="345">
        <v>162</v>
      </c>
      <c r="C169" s="172" t="s">
        <v>133</v>
      </c>
      <c r="D169" s="173" t="s">
        <v>119</v>
      </c>
      <c r="E169" s="174">
        <v>100</v>
      </c>
      <c r="F169" s="175">
        <v>7.1</v>
      </c>
      <c r="G169" s="176">
        <v>77.1</v>
      </c>
      <c r="H169" s="177">
        <v>1.2</v>
      </c>
      <c r="I169" s="471"/>
    </row>
    <row r="170" spans="2:9" ht="21">
      <c r="B170" s="345">
        <v>163</v>
      </c>
      <c r="C170" s="178" t="s">
        <v>134</v>
      </c>
      <c r="D170" s="173" t="s">
        <v>19</v>
      </c>
      <c r="E170" s="179">
        <v>100</v>
      </c>
      <c r="F170" s="175">
        <v>22</v>
      </c>
      <c r="G170" s="176">
        <v>0</v>
      </c>
      <c r="H170" s="177">
        <v>4.1</v>
      </c>
      <c r="I170" s="471"/>
    </row>
    <row r="171" spans="2:9" ht="21">
      <c r="B171" s="345">
        <v>164</v>
      </c>
      <c r="C171" s="178" t="s">
        <v>135</v>
      </c>
      <c r="D171" s="173" t="s">
        <v>19</v>
      </c>
      <c r="E171" s="179">
        <v>100</v>
      </c>
      <c r="F171" s="175">
        <v>26</v>
      </c>
      <c r="G171" s="176">
        <v>1.4</v>
      </c>
      <c r="H171" s="177">
        <v>22</v>
      </c>
      <c r="I171" s="471"/>
    </row>
    <row r="172" spans="2:9" ht="21">
      <c r="B172" s="345">
        <v>165</v>
      </c>
      <c r="C172" s="172" t="s">
        <v>136</v>
      </c>
      <c r="D172" s="173" t="s">
        <v>19</v>
      </c>
      <c r="E172" s="174">
        <v>100</v>
      </c>
      <c r="F172" s="175">
        <v>0.9</v>
      </c>
      <c r="G172" s="176">
        <v>9.6</v>
      </c>
      <c r="H172" s="177">
        <v>28.5</v>
      </c>
      <c r="I172" s="471"/>
    </row>
    <row r="173" spans="2:9" ht="21">
      <c r="B173" s="345">
        <v>166</v>
      </c>
      <c r="C173" s="178" t="s">
        <v>137</v>
      </c>
      <c r="D173" s="173" t="s">
        <v>19</v>
      </c>
      <c r="E173" s="179">
        <v>100</v>
      </c>
      <c r="F173" s="175">
        <v>0.5</v>
      </c>
      <c r="G173" s="176">
        <v>81</v>
      </c>
      <c r="H173" s="177">
        <v>0</v>
      </c>
      <c r="I173" s="471"/>
    </row>
    <row r="174" spans="2:9" ht="21">
      <c r="B174" s="345">
        <v>167</v>
      </c>
      <c r="C174" s="172" t="s">
        <v>138</v>
      </c>
      <c r="D174" s="173" t="s">
        <v>19</v>
      </c>
      <c r="E174" s="174">
        <v>100</v>
      </c>
      <c r="F174" s="175">
        <v>0.9</v>
      </c>
      <c r="G174" s="176">
        <v>24.1</v>
      </c>
      <c r="H174" s="177">
        <v>0.1</v>
      </c>
      <c r="I174" s="471"/>
    </row>
    <row r="175" spans="2:9" ht="21">
      <c r="B175" s="345">
        <v>168</v>
      </c>
      <c r="C175" s="178" t="s">
        <v>139</v>
      </c>
      <c r="D175" s="173" t="s">
        <v>19</v>
      </c>
      <c r="E175" s="179">
        <v>100</v>
      </c>
      <c r="F175" s="175">
        <v>2.3</v>
      </c>
      <c r="G175" s="176">
        <v>68.1</v>
      </c>
      <c r="H175" s="177">
        <v>0.4</v>
      </c>
      <c r="I175" s="471"/>
    </row>
    <row r="176" spans="2:9" ht="21">
      <c r="B176" s="345">
        <v>169</v>
      </c>
      <c r="C176" s="178" t="s">
        <v>141</v>
      </c>
      <c r="D176" s="173" t="s">
        <v>19</v>
      </c>
      <c r="E176" s="179">
        <v>100</v>
      </c>
      <c r="F176" s="175">
        <v>3.1</v>
      </c>
      <c r="G176" s="176">
        <v>1.1</v>
      </c>
      <c r="H176" s="177">
        <v>0.8</v>
      </c>
      <c r="I176" s="471"/>
    </row>
    <row r="177" spans="2:9" ht="21">
      <c r="B177" s="345">
        <v>170</v>
      </c>
      <c r="C177" s="172"/>
      <c r="D177" s="173"/>
      <c r="E177" s="174"/>
      <c r="F177" s="175"/>
      <c r="G177" s="176"/>
      <c r="H177" s="177"/>
      <c r="I177" s="471"/>
    </row>
    <row r="178" spans="2:9" ht="21">
      <c r="B178" s="345">
        <v>171</v>
      </c>
      <c r="C178" s="172"/>
      <c r="D178" s="173"/>
      <c r="E178" s="174"/>
      <c r="F178" s="175"/>
      <c r="G178" s="176"/>
      <c r="H178" s="177"/>
      <c r="I178" s="471"/>
    </row>
    <row r="179" spans="2:9" ht="21">
      <c r="B179" s="345">
        <v>172</v>
      </c>
      <c r="C179" s="178"/>
      <c r="D179" s="173"/>
      <c r="E179" s="174"/>
      <c r="F179" s="175"/>
      <c r="G179" s="176"/>
      <c r="H179" s="177"/>
      <c r="I179" s="471"/>
    </row>
    <row r="180" spans="2:9" ht="21">
      <c r="B180" s="345">
        <v>173</v>
      </c>
      <c r="C180" s="178"/>
      <c r="D180" s="173"/>
      <c r="E180" s="179"/>
      <c r="F180" s="175"/>
      <c r="G180" s="176"/>
      <c r="H180" s="177"/>
      <c r="I180" s="471"/>
    </row>
    <row r="181" spans="2:9" ht="21">
      <c r="B181" s="345">
        <v>174</v>
      </c>
      <c r="C181" s="178"/>
      <c r="D181" s="173"/>
      <c r="E181" s="174"/>
      <c r="F181" s="175"/>
      <c r="G181" s="176"/>
      <c r="H181" s="177"/>
      <c r="I181" s="471"/>
    </row>
    <row r="182" spans="2:9" ht="21.75" thickBot="1">
      <c r="B182" s="347">
        <v>175</v>
      </c>
      <c r="C182" s="178"/>
      <c r="D182" s="173"/>
      <c r="E182" s="179"/>
      <c r="F182" s="175"/>
      <c r="G182" s="176"/>
      <c r="H182" s="177"/>
      <c r="I182" s="472"/>
    </row>
    <row r="183" spans="2:9" ht="24" thickBot="1">
      <c r="B183" s="464" t="str">
        <f>Seven</f>
        <v>Day6</v>
      </c>
      <c r="C183" s="465"/>
      <c r="D183" s="465"/>
      <c r="E183" s="465"/>
      <c r="F183" s="465"/>
      <c r="G183" s="465"/>
      <c r="H183" s="465"/>
      <c r="I183" s="466"/>
    </row>
    <row r="184" spans="2:9" ht="21">
      <c r="B184" s="344">
        <v>176</v>
      </c>
      <c r="C184" s="178" t="s">
        <v>52</v>
      </c>
      <c r="D184" s="173" t="s">
        <v>19</v>
      </c>
      <c r="E184" s="179">
        <v>100</v>
      </c>
      <c r="F184" s="175">
        <v>0.4</v>
      </c>
      <c r="G184" s="176">
        <v>15</v>
      </c>
      <c r="H184" s="177">
        <v>0.1</v>
      </c>
      <c r="I184" s="470" t="str">
        <f>Day6!C14</f>
        <v>Day6</v>
      </c>
    </row>
    <row r="185" spans="2:9" ht="21">
      <c r="B185" s="345">
        <v>177</v>
      </c>
      <c r="C185" s="172" t="s">
        <v>112</v>
      </c>
      <c r="D185" s="173" t="s">
        <v>19</v>
      </c>
      <c r="E185" s="174">
        <v>299</v>
      </c>
      <c r="F185" s="175">
        <v>7.5</v>
      </c>
      <c r="G185" s="176">
        <v>63.2</v>
      </c>
      <c r="H185" s="177">
        <v>0.4</v>
      </c>
      <c r="I185" s="471"/>
    </row>
    <row r="186" spans="2:9" ht="21">
      <c r="B186" s="345">
        <v>178</v>
      </c>
      <c r="C186" s="178" t="s">
        <v>113</v>
      </c>
      <c r="D186" s="173" t="s">
        <v>19</v>
      </c>
      <c r="E186" s="179">
        <v>225</v>
      </c>
      <c r="F186" s="175">
        <v>2</v>
      </c>
      <c r="G186" s="176">
        <v>51</v>
      </c>
      <c r="H186" s="177">
        <v>1</v>
      </c>
      <c r="I186" s="471"/>
    </row>
    <row r="187" spans="2:9" ht="21">
      <c r="B187" s="345">
        <v>179</v>
      </c>
      <c r="C187" s="178" t="s">
        <v>114</v>
      </c>
      <c r="D187" s="173" t="s">
        <v>19</v>
      </c>
      <c r="E187" s="179">
        <v>200</v>
      </c>
      <c r="F187" s="175">
        <v>9.2</v>
      </c>
      <c r="G187" s="176">
        <v>21.5</v>
      </c>
      <c r="H187" s="177">
        <v>0.4</v>
      </c>
      <c r="I187" s="471"/>
    </row>
    <row r="188" spans="2:9" ht="21">
      <c r="B188" s="345">
        <v>180</v>
      </c>
      <c r="C188" s="172" t="s">
        <v>115</v>
      </c>
      <c r="D188" s="173" t="s">
        <v>19</v>
      </c>
      <c r="E188" s="174">
        <v>100</v>
      </c>
      <c r="F188" s="175">
        <v>27</v>
      </c>
      <c r="G188" s="176">
        <v>0</v>
      </c>
      <c r="H188" s="177">
        <v>1.1</v>
      </c>
      <c r="I188" s="471"/>
    </row>
    <row r="189" spans="2:9" ht="21">
      <c r="B189" s="345">
        <v>181</v>
      </c>
      <c r="C189" s="172" t="s">
        <v>116</v>
      </c>
      <c r="D189" s="173" t="s">
        <v>19</v>
      </c>
      <c r="E189" s="174">
        <v>100</v>
      </c>
      <c r="F189" s="175">
        <v>23.09</v>
      </c>
      <c r="G189" s="176">
        <v>0</v>
      </c>
      <c r="H189" s="177">
        <v>1.24</v>
      </c>
      <c r="I189" s="471"/>
    </row>
    <row r="190" spans="2:9" ht="21">
      <c r="B190" s="345">
        <v>182</v>
      </c>
      <c r="C190" s="178" t="s">
        <v>117</v>
      </c>
      <c r="D190" s="173" t="s">
        <v>19</v>
      </c>
      <c r="E190" s="179">
        <v>100</v>
      </c>
      <c r="F190" s="175">
        <v>1.2</v>
      </c>
      <c r="G190" s="176">
        <v>7.9</v>
      </c>
      <c r="H190" s="177">
        <v>0.2</v>
      </c>
      <c r="I190" s="471"/>
    </row>
    <row r="191" spans="2:9" ht="21">
      <c r="B191" s="345">
        <v>183</v>
      </c>
      <c r="C191" s="172" t="s">
        <v>118</v>
      </c>
      <c r="D191" s="173" t="s">
        <v>119</v>
      </c>
      <c r="E191" s="174">
        <v>1</v>
      </c>
      <c r="F191" s="175">
        <v>7.28</v>
      </c>
      <c r="G191" s="176">
        <v>0.56</v>
      </c>
      <c r="H191" s="177">
        <v>5.6</v>
      </c>
      <c r="I191" s="471"/>
    </row>
    <row r="192" spans="2:9" ht="21">
      <c r="B192" s="345">
        <v>184</v>
      </c>
      <c r="C192" s="178" t="s">
        <v>120</v>
      </c>
      <c r="D192" s="173" t="s">
        <v>19</v>
      </c>
      <c r="E192" s="174">
        <v>100</v>
      </c>
      <c r="F192" s="175">
        <v>7.9</v>
      </c>
      <c r="G192" s="176">
        <v>70.3</v>
      </c>
      <c r="H192" s="177">
        <v>1.5</v>
      </c>
      <c r="I192" s="471"/>
    </row>
    <row r="193" spans="2:9" ht="21">
      <c r="B193" s="345">
        <v>185</v>
      </c>
      <c r="C193" s="178" t="s">
        <v>121</v>
      </c>
      <c r="D193" s="173" t="s">
        <v>19</v>
      </c>
      <c r="E193" s="174">
        <v>13</v>
      </c>
      <c r="F193" s="175">
        <v>0.2</v>
      </c>
      <c r="G193" s="176">
        <v>0.2</v>
      </c>
      <c r="H193" s="177">
        <v>10</v>
      </c>
      <c r="I193" s="471"/>
    </row>
    <row r="194" spans="2:9" ht="21">
      <c r="B194" s="345">
        <v>186</v>
      </c>
      <c r="C194" s="172" t="s">
        <v>122</v>
      </c>
      <c r="D194" s="173" t="s">
        <v>19</v>
      </c>
      <c r="E194" s="174">
        <v>100</v>
      </c>
      <c r="F194" s="175">
        <v>3.6</v>
      </c>
      <c r="G194" s="176">
        <v>2.6</v>
      </c>
      <c r="H194" s="177">
        <v>1.7</v>
      </c>
      <c r="I194" s="471"/>
    </row>
    <row r="195" spans="2:9" ht="21">
      <c r="B195" s="345">
        <v>187</v>
      </c>
      <c r="C195" s="178" t="s">
        <v>123</v>
      </c>
      <c r="D195" s="173" t="s">
        <v>19</v>
      </c>
      <c r="E195" s="174">
        <v>100</v>
      </c>
      <c r="F195" s="175">
        <v>2.4</v>
      </c>
      <c r="G195" s="176">
        <v>23</v>
      </c>
      <c r="H195" s="177">
        <v>3.6</v>
      </c>
      <c r="I195" s="471"/>
    </row>
    <row r="196" spans="2:9" ht="21">
      <c r="B196" s="345">
        <v>188</v>
      </c>
      <c r="C196" s="172" t="s">
        <v>124</v>
      </c>
      <c r="D196" s="173" t="s">
        <v>19</v>
      </c>
      <c r="E196" s="174">
        <v>30</v>
      </c>
      <c r="F196" s="175">
        <v>25.5</v>
      </c>
      <c r="G196" s="176">
        <v>4.5</v>
      </c>
      <c r="H196" s="177">
        <v>0.45</v>
      </c>
      <c r="I196" s="471"/>
    </row>
    <row r="197" spans="2:9" ht="21">
      <c r="B197" s="345">
        <v>189</v>
      </c>
      <c r="C197" s="178" t="s">
        <v>125</v>
      </c>
      <c r="D197" s="173" t="s">
        <v>119</v>
      </c>
      <c r="E197" s="179">
        <v>1</v>
      </c>
      <c r="F197" s="175">
        <v>-2.7</v>
      </c>
      <c r="G197" s="176">
        <v>-0.61</v>
      </c>
      <c r="H197" s="177">
        <v>-4.51</v>
      </c>
      <c r="I197" s="471"/>
    </row>
    <row r="198" spans="2:9" ht="21">
      <c r="B198" s="345">
        <v>190</v>
      </c>
      <c r="C198" s="178" t="s">
        <v>126</v>
      </c>
      <c r="D198" s="173" t="s">
        <v>19</v>
      </c>
      <c r="E198" s="179">
        <v>25</v>
      </c>
      <c r="F198" s="175">
        <v>18.86</v>
      </c>
      <c r="G198" s="176">
        <v>1.5</v>
      </c>
      <c r="H198" s="177">
        <v>1.7</v>
      </c>
      <c r="I198" s="471"/>
    </row>
    <row r="199" spans="2:9" ht="21">
      <c r="B199" s="345">
        <v>191</v>
      </c>
      <c r="C199" s="178" t="s">
        <v>127</v>
      </c>
      <c r="D199" s="173" t="s">
        <v>19</v>
      </c>
      <c r="E199" s="174">
        <v>100</v>
      </c>
      <c r="F199" s="175">
        <v>12.5</v>
      </c>
      <c r="G199" s="176">
        <v>68.3</v>
      </c>
      <c r="H199" s="177">
        <v>6.4</v>
      </c>
      <c r="I199" s="471"/>
    </row>
    <row r="200" spans="2:9" ht="21">
      <c r="B200" s="345">
        <v>192</v>
      </c>
      <c r="C200" s="178" t="s">
        <v>128</v>
      </c>
      <c r="D200" s="173" t="s">
        <v>19</v>
      </c>
      <c r="E200" s="179">
        <v>100</v>
      </c>
      <c r="F200" s="175">
        <v>24.9</v>
      </c>
      <c r="G200" s="176">
        <v>10.1</v>
      </c>
      <c r="H200" s="177">
        <v>50.2</v>
      </c>
      <c r="I200" s="471"/>
    </row>
    <row r="201" spans="2:9" ht="21">
      <c r="B201" s="345">
        <v>193</v>
      </c>
      <c r="C201" s="172" t="s">
        <v>129</v>
      </c>
      <c r="D201" s="173" t="s">
        <v>19</v>
      </c>
      <c r="E201" s="174">
        <v>100</v>
      </c>
      <c r="F201" s="175">
        <v>29.6</v>
      </c>
      <c r="G201" s="176">
        <v>11.6</v>
      </c>
      <c r="H201" s="177">
        <v>46</v>
      </c>
      <c r="I201" s="471"/>
    </row>
    <row r="202" spans="2:9" ht="21">
      <c r="B202" s="345">
        <v>194</v>
      </c>
      <c r="C202" s="172" t="s">
        <v>130</v>
      </c>
      <c r="D202" s="173" t="s">
        <v>19</v>
      </c>
      <c r="E202" s="174">
        <v>100</v>
      </c>
      <c r="F202" s="175">
        <v>4.9</v>
      </c>
      <c r="G202" s="176">
        <v>7.5</v>
      </c>
      <c r="H202" s="177">
        <v>0.7</v>
      </c>
      <c r="I202" s="471"/>
    </row>
    <row r="203" spans="2:9" ht="21">
      <c r="B203" s="345">
        <v>195</v>
      </c>
      <c r="C203" s="172" t="s">
        <v>131</v>
      </c>
      <c r="D203" s="173" t="s">
        <v>19</v>
      </c>
      <c r="E203" s="174">
        <v>30</v>
      </c>
      <c r="F203" s="175">
        <v>26.5</v>
      </c>
      <c r="G203" s="176">
        <v>0.28</v>
      </c>
      <c r="H203" s="177">
        <v>0</v>
      </c>
      <c r="I203" s="471"/>
    </row>
    <row r="204" spans="2:9" ht="21">
      <c r="B204" s="345">
        <v>196</v>
      </c>
      <c r="C204" s="178" t="s">
        <v>132</v>
      </c>
      <c r="D204" s="173" t="s">
        <v>19</v>
      </c>
      <c r="E204" s="179">
        <v>100</v>
      </c>
      <c r="F204" s="175">
        <v>0</v>
      </c>
      <c r="G204" s="176">
        <v>0</v>
      </c>
      <c r="H204" s="177">
        <v>100</v>
      </c>
      <c r="I204" s="471"/>
    </row>
    <row r="205" spans="2:9" ht="21">
      <c r="B205" s="345">
        <v>197</v>
      </c>
      <c r="C205" s="172" t="s">
        <v>133</v>
      </c>
      <c r="D205" s="173" t="s">
        <v>119</v>
      </c>
      <c r="E205" s="174">
        <v>100</v>
      </c>
      <c r="F205" s="175">
        <v>7.1</v>
      </c>
      <c r="G205" s="176">
        <v>77.1</v>
      </c>
      <c r="H205" s="177">
        <v>1.2</v>
      </c>
      <c r="I205" s="471"/>
    </row>
    <row r="206" spans="2:9" ht="21">
      <c r="B206" s="345">
        <v>198</v>
      </c>
      <c r="C206" s="178" t="s">
        <v>134</v>
      </c>
      <c r="D206" s="173" t="s">
        <v>19</v>
      </c>
      <c r="E206" s="179">
        <v>100</v>
      </c>
      <c r="F206" s="175">
        <v>22</v>
      </c>
      <c r="G206" s="176">
        <v>0</v>
      </c>
      <c r="H206" s="177">
        <v>4.1</v>
      </c>
      <c r="I206" s="471"/>
    </row>
    <row r="207" spans="2:9" ht="21">
      <c r="B207" s="345">
        <v>199</v>
      </c>
      <c r="C207" s="178" t="s">
        <v>135</v>
      </c>
      <c r="D207" s="173" t="s">
        <v>19</v>
      </c>
      <c r="E207" s="179">
        <v>100</v>
      </c>
      <c r="F207" s="175">
        <v>26</v>
      </c>
      <c r="G207" s="176">
        <v>1.4</v>
      </c>
      <c r="H207" s="177">
        <v>22</v>
      </c>
      <c r="I207" s="471"/>
    </row>
    <row r="208" spans="2:9" ht="21">
      <c r="B208" s="345">
        <v>200</v>
      </c>
      <c r="C208" s="172" t="s">
        <v>136</v>
      </c>
      <c r="D208" s="173" t="s">
        <v>19</v>
      </c>
      <c r="E208" s="174">
        <v>100</v>
      </c>
      <c r="F208" s="175">
        <v>0.9</v>
      </c>
      <c r="G208" s="176">
        <v>9.6</v>
      </c>
      <c r="H208" s="177">
        <v>28.5</v>
      </c>
      <c r="I208" s="471"/>
    </row>
    <row r="209" spans="2:9" ht="21">
      <c r="B209" s="345">
        <v>201</v>
      </c>
      <c r="C209" s="178" t="s">
        <v>137</v>
      </c>
      <c r="D209" s="173" t="s">
        <v>19</v>
      </c>
      <c r="E209" s="179">
        <v>100</v>
      </c>
      <c r="F209" s="175">
        <v>0.5</v>
      </c>
      <c r="G209" s="176">
        <v>81</v>
      </c>
      <c r="H209" s="177">
        <v>0</v>
      </c>
      <c r="I209" s="471"/>
    </row>
    <row r="210" spans="2:9" ht="21">
      <c r="B210" s="345">
        <v>202</v>
      </c>
      <c r="C210" s="172" t="s">
        <v>138</v>
      </c>
      <c r="D210" s="173" t="s">
        <v>19</v>
      </c>
      <c r="E210" s="174">
        <v>100</v>
      </c>
      <c r="F210" s="175">
        <v>0.9</v>
      </c>
      <c r="G210" s="176">
        <v>24.1</v>
      </c>
      <c r="H210" s="177">
        <v>0.1</v>
      </c>
      <c r="I210" s="471"/>
    </row>
    <row r="211" spans="2:9" ht="21">
      <c r="B211" s="345">
        <v>203</v>
      </c>
      <c r="C211" s="178" t="s">
        <v>139</v>
      </c>
      <c r="D211" s="173" t="s">
        <v>19</v>
      </c>
      <c r="E211" s="179">
        <v>100</v>
      </c>
      <c r="F211" s="175">
        <v>2.3</v>
      </c>
      <c r="G211" s="176">
        <v>68.1</v>
      </c>
      <c r="H211" s="177">
        <v>0.4</v>
      </c>
      <c r="I211" s="471"/>
    </row>
    <row r="212" spans="2:9" ht="21">
      <c r="B212" s="345">
        <v>204</v>
      </c>
      <c r="C212" s="178" t="s">
        <v>141</v>
      </c>
      <c r="D212" s="173" t="s">
        <v>19</v>
      </c>
      <c r="E212" s="179">
        <v>100</v>
      </c>
      <c r="F212" s="175">
        <v>3.1</v>
      </c>
      <c r="G212" s="176">
        <v>1.1</v>
      </c>
      <c r="H212" s="177">
        <v>0.8</v>
      </c>
      <c r="I212" s="471"/>
    </row>
    <row r="213" spans="2:9" ht="21">
      <c r="B213" s="345">
        <v>205</v>
      </c>
      <c r="C213" s="172"/>
      <c r="D213" s="173"/>
      <c r="E213" s="174"/>
      <c r="F213" s="175"/>
      <c r="G213" s="176"/>
      <c r="H213" s="177"/>
      <c r="I213" s="471"/>
    </row>
    <row r="214" spans="2:9" ht="21">
      <c r="B214" s="345">
        <v>206</v>
      </c>
      <c r="C214" s="172"/>
      <c r="D214" s="173"/>
      <c r="E214" s="174"/>
      <c r="F214" s="175"/>
      <c r="G214" s="176"/>
      <c r="H214" s="177"/>
      <c r="I214" s="471"/>
    </row>
    <row r="215" spans="2:9" ht="21">
      <c r="B215" s="345">
        <v>207</v>
      </c>
      <c r="C215" s="178"/>
      <c r="D215" s="173"/>
      <c r="E215" s="174"/>
      <c r="F215" s="175"/>
      <c r="G215" s="176"/>
      <c r="H215" s="177"/>
      <c r="I215" s="471"/>
    </row>
    <row r="216" spans="2:9" ht="21">
      <c r="B216" s="345">
        <v>208</v>
      </c>
      <c r="C216" s="178"/>
      <c r="D216" s="173"/>
      <c r="E216" s="179"/>
      <c r="F216" s="175"/>
      <c r="G216" s="176"/>
      <c r="H216" s="177"/>
      <c r="I216" s="471"/>
    </row>
    <row r="217" spans="2:9" ht="21">
      <c r="B217" s="345">
        <v>209</v>
      </c>
      <c r="C217" s="178"/>
      <c r="D217" s="173"/>
      <c r="E217" s="174"/>
      <c r="F217" s="175"/>
      <c r="G217" s="176"/>
      <c r="H217" s="177"/>
      <c r="I217" s="471"/>
    </row>
    <row r="218" spans="2:9" ht="21.75" thickBot="1">
      <c r="B218" s="347">
        <v>210</v>
      </c>
      <c r="C218" s="178"/>
      <c r="D218" s="173"/>
      <c r="E218" s="179"/>
      <c r="F218" s="175"/>
      <c r="G218" s="176"/>
      <c r="H218" s="177"/>
      <c r="I218" s="472"/>
    </row>
    <row r="219" spans="2:9" ht="24" thickBot="1">
      <c r="B219" s="464" t="str">
        <f>Four</f>
        <v>Day7</v>
      </c>
      <c r="C219" s="465"/>
      <c r="D219" s="465"/>
      <c r="E219" s="465"/>
      <c r="F219" s="465"/>
      <c r="G219" s="465"/>
      <c r="H219" s="465"/>
      <c r="I219" s="466"/>
    </row>
    <row r="220" spans="2:9" ht="21">
      <c r="B220" s="344">
        <v>211</v>
      </c>
      <c r="C220" s="178" t="s">
        <v>52</v>
      </c>
      <c r="D220" s="173" t="s">
        <v>19</v>
      </c>
      <c r="E220" s="179">
        <v>100</v>
      </c>
      <c r="F220" s="175">
        <v>0.4</v>
      </c>
      <c r="G220" s="176">
        <v>15</v>
      </c>
      <c r="H220" s="177">
        <v>0.1</v>
      </c>
      <c r="I220" s="470" t="str">
        <f>Day7!C14</f>
        <v>Day7</v>
      </c>
    </row>
    <row r="221" spans="2:9" ht="21">
      <c r="B221" s="345">
        <v>212</v>
      </c>
      <c r="C221" s="172" t="s">
        <v>112</v>
      </c>
      <c r="D221" s="173" t="s">
        <v>19</v>
      </c>
      <c r="E221" s="174">
        <v>299</v>
      </c>
      <c r="F221" s="175">
        <v>7.5</v>
      </c>
      <c r="G221" s="176">
        <v>63.2</v>
      </c>
      <c r="H221" s="177">
        <v>0.4</v>
      </c>
      <c r="I221" s="471"/>
    </row>
    <row r="222" spans="2:9" ht="21">
      <c r="B222" s="345">
        <v>213</v>
      </c>
      <c r="C222" s="178" t="s">
        <v>113</v>
      </c>
      <c r="D222" s="173" t="s">
        <v>19</v>
      </c>
      <c r="E222" s="179">
        <v>225</v>
      </c>
      <c r="F222" s="175">
        <v>2</v>
      </c>
      <c r="G222" s="176">
        <v>51</v>
      </c>
      <c r="H222" s="177">
        <v>1</v>
      </c>
      <c r="I222" s="471"/>
    </row>
    <row r="223" spans="2:9" ht="21">
      <c r="B223" s="345">
        <v>214</v>
      </c>
      <c r="C223" s="178" t="s">
        <v>114</v>
      </c>
      <c r="D223" s="173" t="s">
        <v>19</v>
      </c>
      <c r="E223" s="179">
        <v>200</v>
      </c>
      <c r="F223" s="175">
        <v>9.2</v>
      </c>
      <c r="G223" s="176">
        <v>21.5</v>
      </c>
      <c r="H223" s="177">
        <v>0.4</v>
      </c>
      <c r="I223" s="471"/>
    </row>
    <row r="224" spans="2:9" ht="21">
      <c r="B224" s="345">
        <v>215</v>
      </c>
      <c r="C224" s="172" t="s">
        <v>115</v>
      </c>
      <c r="D224" s="173" t="s">
        <v>19</v>
      </c>
      <c r="E224" s="174">
        <v>100</v>
      </c>
      <c r="F224" s="175">
        <v>27</v>
      </c>
      <c r="G224" s="176">
        <v>0</v>
      </c>
      <c r="H224" s="177">
        <v>1.1</v>
      </c>
      <c r="I224" s="471"/>
    </row>
    <row r="225" spans="2:9" ht="21">
      <c r="B225" s="345">
        <v>216</v>
      </c>
      <c r="C225" s="172" t="s">
        <v>116</v>
      </c>
      <c r="D225" s="173" t="s">
        <v>19</v>
      </c>
      <c r="E225" s="174">
        <v>100</v>
      </c>
      <c r="F225" s="175">
        <v>23.09</v>
      </c>
      <c r="G225" s="176">
        <v>0</v>
      </c>
      <c r="H225" s="177">
        <v>1.24</v>
      </c>
      <c r="I225" s="471"/>
    </row>
    <row r="226" spans="2:9" ht="21">
      <c r="B226" s="345">
        <v>217</v>
      </c>
      <c r="C226" s="178" t="s">
        <v>117</v>
      </c>
      <c r="D226" s="173" t="s">
        <v>19</v>
      </c>
      <c r="E226" s="179">
        <v>100</v>
      </c>
      <c r="F226" s="175">
        <v>1.2</v>
      </c>
      <c r="G226" s="176">
        <v>7.9</v>
      </c>
      <c r="H226" s="177">
        <v>0.2</v>
      </c>
      <c r="I226" s="471"/>
    </row>
    <row r="227" spans="2:9" ht="21">
      <c r="B227" s="345">
        <v>218</v>
      </c>
      <c r="C227" s="172" t="s">
        <v>118</v>
      </c>
      <c r="D227" s="173" t="s">
        <v>119</v>
      </c>
      <c r="E227" s="174">
        <v>1</v>
      </c>
      <c r="F227" s="175">
        <v>7.28</v>
      </c>
      <c r="G227" s="176">
        <v>0.56</v>
      </c>
      <c r="H227" s="177">
        <v>5.6</v>
      </c>
      <c r="I227" s="471"/>
    </row>
    <row r="228" spans="2:9" ht="21">
      <c r="B228" s="345">
        <v>219</v>
      </c>
      <c r="C228" s="178" t="s">
        <v>120</v>
      </c>
      <c r="D228" s="173" t="s">
        <v>19</v>
      </c>
      <c r="E228" s="174">
        <v>100</v>
      </c>
      <c r="F228" s="175">
        <v>7.9</v>
      </c>
      <c r="G228" s="176">
        <v>70.3</v>
      </c>
      <c r="H228" s="177">
        <v>1.5</v>
      </c>
      <c r="I228" s="471"/>
    </row>
    <row r="229" spans="2:9" ht="21">
      <c r="B229" s="345">
        <v>220</v>
      </c>
      <c r="C229" s="178" t="s">
        <v>121</v>
      </c>
      <c r="D229" s="173" t="s">
        <v>19</v>
      </c>
      <c r="E229" s="174">
        <v>13</v>
      </c>
      <c r="F229" s="175">
        <v>0.2</v>
      </c>
      <c r="G229" s="176">
        <v>0.2</v>
      </c>
      <c r="H229" s="177">
        <v>10</v>
      </c>
      <c r="I229" s="471"/>
    </row>
    <row r="230" spans="2:9" ht="21">
      <c r="B230" s="345">
        <v>221</v>
      </c>
      <c r="C230" s="172" t="s">
        <v>122</v>
      </c>
      <c r="D230" s="173" t="s">
        <v>19</v>
      </c>
      <c r="E230" s="174">
        <v>100</v>
      </c>
      <c r="F230" s="175">
        <v>3.6</v>
      </c>
      <c r="G230" s="176">
        <v>2.6</v>
      </c>
      <c r="H230" s="177">
        <v>1.7</v>
      </c>
      <c r="I230" s="471"/>
    </row>
    <row r="231" spans="2:9" ht="21">
      <c r="B231" s="345">
        <v>222</v>
      </c>
      <c r="C231" s="178" t="s">
        <v>123</v>
      </c>
      <c r="D231" s="173" t="s">
        <v>19</v>
      </c>
      <c r="E231" s="174">
        <v>100</v>
      </c>
      <c r="F231" s="175">
        <v>2.4</v>
      </c>
      <c r="G231" s="176">
        <v>23</v>
      </c>
      <c r="H231" s="177">
        <v>3.6</v>
      </c>
      <c r="I231" s="471"/>
    </row>
    <row r="232" spans="2:9" ht="21">
      <c r="B232" s="345">
        <v>223</v>
      </c>
      <c r="C232" s="172" t="s">
        <v>124</v>
      </c>
      <c r="D232" s="173" t="s">
        <v>19</v>
      </c>
      <c r="E232" s="174">
        <v>30</v>
      </c>
      <c r="F232" s="175">
        <v>25.5</v>
      </c>
      <c r="G232" s="176">
        <v>4.5</v>
      </c>
      <c r="H232" s="177">
        <v>0.45</v>
      </c>
      <c r="I232" s="471"/>
    </row>
    <row r="233" spans="2:9" ht="21">
      <c r="B233" s="345">
        <v>224</v>
      </c>
      <c r="C233" s="178" t="s">
        <v>125</v>
      </c>
      <c r="D233" s="173" t="s">
        <v>119</v>
      </c>
      <c r="E233" s="179">
        <v>1</v>
      </c>
      <c r="F233" s="175">
        <v>-2.7</v>
      </c>
      <c r="G233" s="176">
        <v>-0.61</v>
      </c>
      <c r="H233" s="177">
        <v>-4.51</v>
      </c>
      <c r="I233" s="471"/>
    </row>
    <row r="234" spans="2:9" ht="21">
      <c r="B234" s="345">
        <v>225</v>
      </c>
      <c r="C234" s="178" t="s">
        <v>126</v>
      </c>
      <c r="D234" s="173" t="s">
        <v>19</v>
      </c>
      <c r="E234" s="179">
        <v>25</v>
      </c>
      <c r="F234" s="175">
        <v>18.86</v>
      </c>
      <c r="G234" s="176">
        <v>1.5</v>
      </c>
      <c r="H234" s="177">
        <v>1.7</v>
      </c>
      <c r="I234" s="471"/>
    </row>
    <row r="235" spans="2:9" ht="21">
      <c r="B235" s="345">
        <v>226</v>
      </c>
      <c r="C235" s="178" t="s">
        <v>127</v>
      </c>
      <c r="D235" s="173" t="s">
        <v>19</v>
      </c>
      <c r="E235" s="174">
        <v>100</v>
      </c>
      <c r="F235" s="175">
        <v>12.5</v>
      </c>
      <c r="G235" s="176">
        <v>68.3</v>
      </c>
      <c r="H235" s="177">
        <v>6.4</v>
      </c>
      <c r="I235" s="471"/>
    </row>
    <row r="236" spans="2:9" ht="21">
      <c r="B236" s="345">
        <v>227</v>
      </c>
      <c r="C236" s="178" t="s">
        <v>128</v>
      </c>
      <c r="D236" s="173" t="s">
        <v>19</v>
      </c>
      <c r="E236" s="179">
        <v>100</v>
      </c>
      <c r="F236" s="175">
        <v>24.9</v>
      </c>
      <c r="G236" s="176">
        <v>10.1</v>
      </c>
      <c r="H236" s="177">
        <v>50.2</v>
      </c>
      <c r="I236" s="471"/>
    </row>
    <row r="237" spans="2:9" ht="21">
      <c r="B237" s="345">
        <v>228</v>
      </c>
      <c r="C237" s="172" t="s">
        <v>129</v>
      </c>
      <c r="D237" s="173" t="s">
        <v>19</v>
      </c>
      <c r="E237" s="174">
        <v>100</v>
      </c>
      <c r="F237" s="175">
        <v>29.6</v>
      </c>
      <c r="G237" s="176">
        <v>11.6</v>
      </c>
      <c r="H237" s="177">
        <v>46</v>
      </c>
      <c r="I237" s="471"/>
    </row>
    <row r="238" spans="2:9" ht="21">
      <c r="B238" s="345">
        <v>229</v>
      </c>
      <c r="C238" s="172" t="s">
        <v>130</v>
      </c>
      <c r="D238" s="173" t="s">
        <v>19</v>
      </c>
      <c r="E238" s="174">
        <v>100</v>
      </c>
      <c r="F238" s="175">
        <v>4.9</v>
      </c>
      <c r="G238" s="176">
        <v>7.5</v>
      </c>
      <c r="H238" s="177">
        <v>0.7</v>
      </c>
      <c r="I238" s="471"/>
    </row>
    <row r="239" spans="2:9" ht="21">
      <c r="B239" s="345">
        <v>230</v>
      </c>
      <c r="C239" s="172" t="s">
        <v>131</v>
      </c>
      <c r="D239" s="173" t="s">
        <v>19</v>
      </c>
      <c r="E239" s="174">
        <v>30</v>
      </c>
      <c r="F239" s="175">
        <v>26.5</v>
      </c>
      <c r="G239" s="176">
        <v>0.28</v>
      </c>
      <c r="H239" s="177">
        <v>0</v>
      </c>
      <c r="I239" s="471"/>
    </row>
    <row r="240" spans="2:9" ht="21">
      <c r="B240" s="345">
        <v>231</v>
      </c>
      <c r="C240" s="178" t="s">
        <v>132</v>
      </c>
      <c r="D240" s="173" t="s">
        <v>19</v>
      </c>
      <c r="E240" s="179">
        <v>100</v>
      </c>
      <c r="F240" s="175">
        <v>0</v>
      </c>
      <c r="G240" s="176">
        <v>0</v>
      </c>
      <c r="H240" s="177">
        <v>100</v>
      </c>
      <c r="I240" s="471"/>
    </row>
    <row r="241" spans="2:9" ht="21">
      <c r="B241" s="345">
        <v>232</v>
      </c>
      <c r="C241" s="172" t="s">
        <v>133</v>
      </c>
      <c r="D241" s="173" t="s">
        <v>119</v>
      </c>
      <c r="E241" s="174">
        <v>100</v>
      </c>
      <c r="F241" s="175">
        <v>7.1</v>
      </c>
      <c r="G241" s="176">
        <v>77.1</v>
      </c>
      <c r="H241" s="177">
        <v>1.2</v>
      </c>
      <c r="I241" s="471"/>
    </row>
    <row r="242" spans="2:9" ht="21">
      <c r="B242" s="345">
        <v>233</v>
      </c>
      <c r="C242" s="178" t="s">
        <v>134</v>
      </c>
      <c r="D242" s="173" t="s">
        <v>19</v>
      </c>
      <c r="E242" s="179">
        <v>100</v>
      </c>
      <c r="F242" s="175">
        <v>22</v>
      </c>
      <c r="G242" s="176">
        <v>0</v>
      </c>
      <c r="H242" s="177">
        <v>4.1</v>
      </c>
      <c r="I242" s="471"/>
    </row>
    <row r="243" spans="2:9" ht="21">
      <c r="B243" s="345">
        <v>234</v>
      </c>
      <c r="C243" s="178" t="s">
        <v>135</v>
      </c>
      <c r="D243" s="173" t="s">
        <v>19</v>
      </c>
      <c r="E243" s="179">
        <v>100</v>
      </c>
      <c r="F243" s="175">
        <v>26</v>
      </c>
      <c r="G243" s="176">
        <v>1.4</v>
      </c>
      <c r="H243" s="177">
        <v>22</v>
      </c>
      <c r="I243" s="471"/>
    </row>
    <row r="244" spans="2:9" ht="21">
      <c r="B244" s="345">
        <v>235</v>
      </c>
      <c r="C244" s="172" t="s">
        <v>136</v>
      </c>
      <c r="D244" s="173" t="s">
        <v>19</v>
      </c>
      <c r="E244" s="174">
        <v>100</v>
      </c>
      <c r="F244" s="175">
        <v>0.9</v>
      </c>
      <c r="G244" s="176">
        <v>9.6</v>
      </c>
      <c r="H244" s="177">
        <v>28.5</v>
      </c>
      <c r="I244" s="471"/>
    </row>
    <row r="245" spans="2:9" ht="21">
      <c r="B245" s="345">
        <v>236</v>
      </c>
      <c r="C245" s="178" t="s">
        <v>137</v>
      </c>
      <c r="D245" s="173" t="s">
        <v>19</v>
      </c>
      <c r="E245" s="179">
        <v>100</v>
      </c>
      <c r="F245" s="175">
        <v>0.5</v>
      </c>
      <c r="G245" s="176">
        <v>81</v>
      </c>
      <c r="H245" s="177">
        <v>0</v>
      </c>
      <c r="I245" s="471"/>
    </row>
    <row r="246" spans="2:9" ht="21">
      <c r="B246" s="345">
        <v>237</v>
      </c>
      <c r="C246" s="172" t="s">
        <v>138</v>
      </c>
      <c r="D246" s="173" t="s">
        <v>19</v>
      </c>
      <c r="E246" s="174">
        <v>100</v>
      </c>
      <c r="F246" s="175">
        <v>0.9</v>
      </c>
      <c r="G246" s="176">
        <v>24.1</v>
      </c>
      <c r="H246" s="177">
        <v>0.1</v>
      </c>
      <c r="I246" s="471"/>
    </row>
    <row r="247" spans="2:9" ht="21">
      <c r="B247" s="345">
        <v>238</v>
      </c>
      <c r="C247" s="178" t="s">
        <v>139</v>
      </c>
      <c r="D247" s="173" t="s">
        <v>19</v>
      </c>
      <c r="E247" s="179">
        <v>100</v>
      </c>
      <c r="F247" s="175">
        <v>2.3</v>
      </c>
      <c r="G247" s="176">
        <v>68.1</v>
      </c>
      <c r="H247" s="177">
        <v>0.4</v>
      </c>
      <c r="I247" s="471"/>
    </row>
    <row r="248" spans="2:9" ht="21">
      <c r="B248" s="345">
        <v>239</v>
      </c>
      <c r="C248" s="178" t="s">
        <v>141</v>
      </c>
      <c r="D248" s="173" t="s">
        <v>19</v>
      </c>
      <c r="E248" s="179">
        <v>100</v>
      </c>
      <c r="F248" s="175">
        <v>3.1</v>
      </c>
      <c r="G248" s="176">
        <v>1.1</v>
      </c>
      <c r="H248" s="177">
        <v>0.8</v>
      </c>
      <c r="I248" s="471"/>
    </row>
    <row r="249" spans="2:9" ht="21">
      <c r="B249" s="345">
        <v>240</v>
      </c>
      <c r="C249" s="172"/>
      <c r="D249" s="173"/>
      <c r="E249" s="174"/>
      <c r="F249" s="175"/>
      <c r="G249" s="176"/>
      <c r="H249" s="177"/>
      <c r="I249" s="471"/>
    </row>
    <row r="250" spans="2:9" ht="21">
      <c r="B250" s="345">
        <v>241</v>
      </c>
      <c r="C250" s="172"/>
      <c r="D250" s="173"/>
      <c r="E250" s="174"/>
      <c r="F250" s="175"/>
      <c r="G250" s="176"/>
      <c r="H250" s="177"/>
      <c r="I250" s="471"/>
    </row>
    <row r="251" spans="2:9" ht="21">
      <c r="B251" s="345">
        <v>242</v>
      </c>
      <c r="C251" s="178"/>
      <c r="D251" s="173"/>
      <c r="E251" s="174"/>
      <c r="F251" s="175"/>
      <c r="G251" s="176"/>
      <c r="H251" s="177"/>
      <c r="I251" s="471"/>
    </row>
    <row r="252" spans="2:9" ht="21">
      <c r="B252" s="345">
        <v>243</v>
      </c>
      <c r="C252" s="178"/>
      <c r="D252" s="173"/>
      <c r="E252" s="179"/>
      <c r="F252" s="175"/>
      <c r="G252" s="176"/>
      <c r="H252" s="177"/>
      <c r="I252" s="471"/>
    </row>
    <row r="253" spans="2:9" ht="21">
      <c r="B253" s="345">
        <v>244</v>
      </c>
      <c r="C253" s="178"/>
      <c r="D253" s="173"/>
      <c r="E253" s="174"/>
      <c r="F253" s="175"/>
      <c r="G253" s="176"/>
      <c r="H253" s="177"/>
      <c r="I253" s="471"/>
    </row>
    <row r="254" spans="2:9" ht="21.75" thickBot="1">
      <c r="B254" s="347">
        <v>245</v>
      </c>
      <c r="C254" s="180"/>
      <c r="D254" s="181"/>
      <c r="E254" s="182"/>
      <c r="F254" s="183"/>
      <c r="G254" s="184"/>
      <c r="H254" s="185"/>
      <c r="I254" s="472"/>
    </row>
    <row r="256" spans="4:7" ht="23.25">
      <c r="D256" s="467" t="s">
        <v>78</v>
      </c>
      <c r="E256" s="468"/>
      <c r="F256" s="468"/>
      <c r="G256" s="469"/>
    </row>
    <row r="257" spans="4:7" ht="23.25">
      <c r="D257" s="196" t="s">
        <v>19</v>
      </c>
      <c r="E257" s="196" t="s">
        <v>18</v>
      </c>
      <c r="F257" s="197" t="s">
        <v>20</v>
      </c>
      <c r="G257" s="197" t="s">
        <v>15</v>
      </c>
    </row>
    <row r="258" spans="4:7" ht="23.25">
      <c r="D258" s="197" t="s">
        <v>23</v>
      </c>
      <c r="E258" s="197" t="s">
        <v>21</v>
      </c>
      <c r="F258" s="197" t="s">
        <v>22</v>
      </c>
      <c r="G258" s="197" t="s">
        <v>24</v>
      </c>
    </row>
    <row r="259" spans="4:7" ht="23.25">
      <c r="D259" s="197" t="s">
        <v>36</v>
      </c>
      <c r="E259" s="197" t="s">
        <v>64</v>
      </c>
      <c r="F259" s="197" t="s">
        <v>48</v>
      </c>
      <c r="G259" s="197"/>
    </row>
    <row r="7092" ht="23.25">
      <c r="FY7092" s="351" t="s">
        <v>32</v>
      </c>
    </row>
    <row r="7093" ht="23.25">
      <c r="FY7093" s="351" t="s">
        <v>65</v>
      </c>
    </row>
  </sheetData>
  <sheetProtection password="FF6E" sheet="1" selectLockedCells="1"/>
  <mergeCells count="15">
    <mergeCell ref="B3:I3"/>
    <mergeCell ref="B111:I111"/>
    <mergeCell ref="B147:I147"/>
    <mergeCell ref="B183:I183"/>
    <mergeCell ref="B75:I75"/>
    <mergeCell ref="B219:I219"/>
    <mergeCell ref="D256:G256"/>
    <mergeCell ref="I40:I74"/>
    <mergeCell ref="I4:I38"/>
    <mergeCell ref="I76:I110"/>
    <mergeCell ref="I148:I182"/>
    <mergeCell ref="I220:I254"/>
    <mergeCell ref="I112:I146"/>
    <mergeCell ref="I184:I218"/>
    <mergeCell ref="B39:I39"/>
  </mergeCells>
  <dataValidations count="1">
    <dataValidation type="list" allowBlank="1" showInputMessage="1" showErrorMessage="1" sqref="D220:D254 D40:D74 D76:D110 D112:D146 D148:D182 D184:D218 D4:D38">
      <formula1>MeasurementList</formula1>
    </dataValidation>
  </dataValidations>
  <hyperlinks>
    <hyperlink ref="I76:I110" location="A1W3" display="A1W3"/>
    <hyperlink ref="I148:I182" location="A1W5" display="A1W5"/>
    <hyperlink ref="I220:I254" location="A1W7" display="A1W7"/>
    <hyperlink ref="I40:I74" location="A1W2" display="A1W2"/>
    <hyperlink ref="I112:I146" location="A1W4" display="A1W4"/>
    <hyperlink ref="I184:I218" location="A1W6" display="A1W6"/>
    <hyperlink ref="I4:I38" location="A1W1" display="A1W1"/>
    <hyperlink ref="B219:I219" location="A1W7" display="A1W7"/>
    <hyperlink ref="B183:I183" location="A1W6" display="A1W6"/>
    <hyperlink ref="B147:I147" location="A1W5" display="A1W5"/>
    <hyperlink ref="B111:I111" location="A1W4" display="A1W4"/>
    <hyperlink ref="B75:I75" location="A1W3" display="A1W3"/>
    <hyperlink ref="B39:I39" location="A1W2" display="A1W2"/>
  </hyperlinks>
  <printOptions horizontalCentered="1" verticalCentered="1"/>
  <pageMargins left="0.11811023622047245" right="0.11811023622047245" top="0.1968503937007874" bottom="0.3937007874015748" header="0.31496062992125984" footer="0.31496062992125984"/>
  <pageSetup fitToHeight="2" fitToWidth="1" orientation="portrait" paperSize="9" scale="77" r:id="rId1"/>
  <ignoredErrors>
    <ignoredError sqref="B4:B38 B2 I2:I3 I5:I39 B40:B74 I41:I75 B220:B254 B76:B219 I77:I219 B3 I4 B39 I40 B75 I76 I220:I254 C219:H219 C2:H3 C39:H39 C75:H75 C111:H111 C183:H183 C147:H147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>
    <tabColor indexed="50"/>
    <pageSetUpPr fitToPage="1"/>
  </sheetPr>
  <dimension ref="B2:FT7026"/>
  <sheetViews>
    <sheetView showGridLines="0" showRowColHeaders="0" showZeros="0" showOutlineSymbols="0" zoomScale="115" zoomScaleNormal="115" workbookViewId="0" topLeftCell="A1">
      <selection activeCell="G17" sqref="G17:G18"/>
    </sheetView>
  </sheetViews>
  <sheetFormatPr defaultColWidth="9.140625" defaultRowHeight="14.25" customHeight="1"/>
  <cols>
    <col min="1" max="1" width="1.57421875" style="155" customWidth="1"/>
    <col min="2" max="2" width="20.421875" style="155" customWidth="1"/>
    <col min="3" max="3" width="17.140625" style="155" customWidth="1"/>
    <col min="4" max="4" width="17.140625" style="216" customWidth="1"/>
    <col min="5" max="5" width="17.140625" style="155" customWidth="1"/>
    <col min="6" max="6" width="2.28125" style="155" customWidth="1"/>
    <col min="7" max="7" width="20.421875" style="155" customWidth="1"/>
    <col min="8" max="8" width="17.140625" style="217" customWidth="1"/>
    <col min="9" max="10" width="17.140625" style="216" customWidth="1"/>
    <col min="11" max="11" width="16.00390625" style="216" bestFit="1" customWidth="1"/>
    <col min="12" max="16384" width="13.57421875" style="155" customWidth="1"/>
  </cols>
  <sheetData>
    <row r="1" ht="9" customHeight="1" thickBot="1"/>
    <row r="2" spans="2:10" ht="16.5" customHeight="1" thickBot="1">
      <c r="B2" s="156" t="str">
        <f>Day1!C14</f>
        <v>Day1</v>
      </c>
      <c r="C2" s="218" t="s">
        <v>62</v>
      </c>
      <c r="D2" s="219" t="s">
        <v>19</v>
      </c>
      <c r="E2" s="220" t="s">
        <v>63</v>
      </c>
      <c r="F2" s="221"/>
      <c r="G2" s="156" t="str">
        <f>Day6!C14</f>
        <v>Day6</v>
      </c>
      <c r="H2" s="218" t="str">
        <f>$C$2</f>
        <v>Percentage</v>
      </c>
      <c r="I2" s="219" t="str">
        <f>$D$2</f>
        <v>Grams</v>
      </c>
      <c r="J2" s="220" t="str">
        <f>$E$2</f>
        <v>Total Calories</v>
      </c>
    </row>
    <row r="3" spans="2:10" ht="16.5" customHeight="1" thickBot="1">
      <c r="B3" s="222" t="s">
        <v>13</v>
      </c>
      <c r="C3" s="223">
        <f>IF(ISERROR(SUM(D3*4)/SUM(D3*4+D4*4+D5*9)),"0",(D3*4)/SUM(D3*4+D4*4+D5*9))</f>
        <v>0.36371702153010915</v>
      </c>
      <c r="D3" s="224">
        <f>SUM(Day1!$D$33+Day1!$D$65+Day1!$D$97+Day1!$D$129+Day1!$D$161+Day1!$D$193)</f>
        <v>214.64879189892233</v>
      </c>
      <c r="E3" s="225">
        <f>SUM(D5*9+D4*4+D3*4)</f>
        <v>2360.613105165366</v>
      </c>
      <c r="F3" s="217"/>
      <c r="G3" s="222" t="s">
        <v>13</v>
      </c>
      <c r="H3" s="223">
        <f>IF(ISERROR(SUM(I3*4)/SUM(I3*4+I4*4+I5*9)),"0",(I3*4)/SUM(I3*4+I4*4+I5*9))</f>
        <v>0.3619800956397131</v>
      </c>
      <c r="I3" s="224">
        <f>SUM(Day6!$D$33+Day6!$D$65+Day6!$D$97+Day6!$D$129+Day6!$D$161+Day6!$D$193)</f>
        <v>204.23461129691563</v>
      </c>
      <c r="J3" s="226">
        <f>SUM(I5*9+I4*4+I3*4)</f>
        <v>2256.860128576737</v>
      </c>
    </row>
    <row r="4" spans="2:10" ht="16.5" customHeight="1">
      <c r="B4" s="227" t="s">
        <v>54</v>
      </c>
      <c r="C4" s="228">
        <f>IF(ISERROR(SUM(D4*4)/SUM(D3*4+D4*4+D5*9)),"0",(D4*4)/SUM(D3*4+D4*4+D5*9))</f>
        <v>0.37600312485882037</v>
      </c>
      <c r="D4" s="229">
        <f>SUM(Day1!$E$33+Day1!$E$65+Day1!$E$97+Day1!$E$129+Day1!$E$161+Day1!$E$193)</f>
        <v>221.8994760312152</v>
      </c>
      <c r="E4" s="230" t="s">
        <v>75</v>
      </c>
      <c r="G4" s="227" t="s">
        <v>54</v>
      </c>
      <c r="H4" s="228">
        <f>IF(ISERROR(SUM(I4*4)/SUM(I3*4+I4*4+I5*9)),"0",(I4*4)/SUM(I3*4+I4*4+I5*9))</f>
        <v>0.3747346350465094</v>
      </c>
      <c r="I4" s="229">
        <f>SUM(Day6!$E$33+Day6!$E$65+Day6!$E$97+Day6!$E$129+Day6!$E$161+Day6!$E$193)</f>
        <v>211.43091415830546</v>
      </c>
      <c r="J4" s="231" t="str">
        <f>E19</f>
        <v>Calorie Aim</v>
      </c>
    </row>
    <row r="5" spans="2:10" ht="16.5" customHeight="1" thickBot="1">
      <c r="B5" s="232" t="s">
        <v>14</v>
      </c>
      <c r="C5" s="233">
        <f>IF(ISERROR(SUM(D5*9)/SUM(D3*4+D4*4+D5*9)),"0",(D5*9)/SUM(D3*4+D4*4+D5*9))</f>
        <v>0.26027985361107053</v>
      </c>
      <c r="D5" s="234">
        <f>SUM(Day1!$F$33+Day1!$F$65+Day1!$F$97+Day1!$F$129+Day1!$F$161+Day1!$F$193)</f>
        <v>68.26889260497957</v>
      </c>
      <c r="E5" s="235">
        <v>2500</v>
      </c>
      <c r="F5" s="217"/>
      <c r="G5" s="232" t="s">
        <v>14</v>
      </c>
      <c r="H5" s="233">
        <f>IF(ISERROR(SUM(I5*9)/SUM(I3*4+I4*4+I5*9)),"0",(I5*9)/SUM(I3*4+I4*4+I5*9))</f>
        <v>0.26328526931377755</v>
      </c>
      <c r="I5" s="234">
        <f>SUM(Day6!$F$33+Day6!$F$65+Day6!$F$97+Day6!$F$129+Day6!$F$161+Day6!$F$193)</f>
        <v>66.02200297287254</v>
      </c>
      <c r="J5" s="235">
        <v>2500</v>
      </c>
    </row>
    <row r="6" spans="4:10" ht="16.5" customHeight="1" thickBot="1">
      <c r="D6" s="155"/>
      <c r="H6" s="155"/>
      <c r="I6" s="155"/>
      <c r="J6" s="155"/>
    </row>
    <row r="7" spans="2:10" ht="16.5" customHeight="1" thickBot="1">
      <c r="B7" s="156" t="str">
        <f>Day2!C14</f>
        <v>Day2</v>
      </c>
      <c r="C7" s="218" t="str">
        <f>$C$2</f>
        <v>Percentage</v>
      </c>
      <c r="D7" s="219" t="str">
        <f>$D$2</f>
        <v>Grams</v>
      </c>
      <c r="E7" s="220" t="str">
        <f>$E$2</f>
        <v>Total Calories</v>
      </c>
      <c r="G7" s="156" t="str">
        <f>Day7!C14</f>
        <v>Day7</v>
      </c>
      <c r="H7" s="218" t="str">
        <f>$C$2</f>
        <v>Percentage</v>
      </c>
      <c r="I7" s="219" t="str">
        <f>$D$2</f>
        <v>Grams</v>
      </c>
      <c r="J7" s="220" t="str">
        <f>$E$2</f>
        <v>Total Calories</v>
      </c>
    </row>
    <row r="8" spans="2:10" ht="16.5" customHeight="1" thickBot="1">
      <c r="B8" s="222" t="s">
        <v>13</v>
      </c>
      <c r="C8" s="223">
        <f>IF(ISERROR(SUM(D8*4)/SUM(D8*4+D9*4+D10*9)),"0",(D8*4)/SUM(D8*4+D9*4+D10*9))</f>
        <v>0.35613603392691695</v>
      </c>
      <c r="D8" s="224">
        <f>SUM(Day2!$D$33+Day2!$D$65+Day2!$D$97+Day2!$D$129+Day2!$D$161+Day2!$D$193)</f>
        <v>210.66961129691563</v>
      </c>
      <c r="E8" s="226">
        <f>SUM(D10*9+D9*4+D8*4)</f>
        <v>2366.170128576737</v>
      </c>
      <c r="F8" s="217"/>
      <c r="G8" s="222" t="s">
        <v>13</v>
      </c>
      <c r="H8" s="223">
        <f>IF(ISERROR(SUM(I8*4)/SUM(I8*4+I9*4+I10*9)),"0",(I8*4)/SUM(I8*4+I9*4+I10*9))</f>
        <v>0.3619800956397131</v>
      </c>
      <c r="I8" s="224">
        <f>SUM(Day7!$D$33+Day7!$D$65+Day7!$D$97+Day7!$D$129+Day7!$D$161+Day7!$D$193)</f>
        <v>204.23461129691563</v>
      </c>
      <c r="J8" s="226">
        <f>SUM(I10*9+I9*4+I8*4)</f>
        <v>2256.860128576737</v>
      </c>
    </row>
    <row r="9" spans="2:10" ht="16.5" customHeight="1">
      <c r="B9" s="227" t="s">
        <v>54</v>
      </c>
      <c r="C9" s="228">
        <f>IF(ISERROR(SUM(D9*4)/SUM(D8*4+D9*4+D10*9)),"0",(D9*4)/SUM(D8*4+D9*4+D10*9))</f>
        <v>0.357253963450924</v>
      </c>
      <c r="D9" s="229">
        <f>SUM(Day2!$E$33+Day2!$E$65+Day2!$E$97+Day2!$E$129+Day2!$E$161+Day2!$E$193)</f>
        <v>211.3309141583055</v>
      </c>
      <c r="E9" s="231" t="s">
        <v>75</v>
      </c>
      <c r="G9" s="227" t="s">
        <v>54</v>
      </c>
      <c r="H9" s="228">
        <f>IF(ISERROR(SUM(I9*4)/SUM(I8*4+I9*4+I10*9)),"0",(I9*4)/SUM(I8*4+I9*4+I10*9))</f>
        <v>0.3747346350465094</v>
      </c>
      <c r="I9" s="229">
        <f>SUM(Day7!$E$33+Day7!$E$65+Day7!$E$97+Day7!$E$129+Day7!$E$161+Day7!$E$193)</f>
        <v>211.43091415830546</v>
      </c>
      <c r="J9" s="231" t="s">
        <v>75</v>
      </c>
    </row>
    <row r="10" spans="2:10" ht="16.5" customHeight="1" thickBot="1">
      <c r="B10" s="232" t="s">
        <v>14</v>
      </c>
      <c r="C10" s="233">
        <f>IF(ISERROR(SUM(D10*9)/SUM(D8*4+D9*4+D10*9)),"0",(D10*9)/SUM(D8*4+D9*4+D10*9))</f>
        <v>0.2866100026221589</v>
      </c>
      <c r="D10" s="234">
        <f>SUM(Day2!$F$33+Day2!$F$65+Day2!$F$97+Day2!$F$129+Day2!$F$161+Day2!$F$193)</f>
        <v>75.35200297287254</v>
      </c>
      <c r="E10" s="235">
        <v>2500</v>
      </c>
      <c r="F10" s="217"/>
      <c r="G10" s="232" t="s">
        <v>14</v>
      </c>
      <c r="H10" s="233">
        <f>IF(ISERROR(SUM(I10*9)/SUM(I8*4+I9*4+I10*9)),"0",(I10*9)/SUM(I8*4+I9*4+I10*9))</f>
        <v>0.26328526931377755</v>
      </c>
      <c r="I10" s="234">
        <f>SUM(Day7!$F$33+Day7!$F$65+Day7!$F$97+Day7!$F$129+Day7!$F$161+Day7!$F$193)</f>
        <v>66.02200297287254</v>
      </c>
      <c r="J10" s="235">
        <v>2500</v>
      </c>
    </row>
    <row r="11" spans="4:9" ht="16.5" customHeight="1" thickBot="1">
      <c r="D11" s="155"/>
      <c r="H11" s="155"/>
      <c r="I11" s="155"/>
    </row>
    <row r="12" spans="2:10" ht="16.5" customHeight="1" thickBot="1">
      <c r="B12" s="156" t="str">
        <f>Day3!C14</f>
        <v>Day3</v>
      </c>
      <c r="C12" s="218" t="str">
        <f>$C$2</f>
        <v>Percentage</v>
      </c>
      <c r="D12" s="219" t="str">
        <f>$D$2</f>
        <v>Grams</v>
      </c>
      <c r="E12" s="220" t="str">
        <f>$E$2</f>
        <v>Total Calories</v>
      </c>
      <c r="G12" s="153" t="s">
        <v>49</v>
      </c>
      <c r="H12" s="236" t="s">
        <v>44</v>
      </c>
      <c r="I12" s="237" t="s">
        <v>50</v>
      </c>
      <c r="J12" s="238" t="s">
        <v>45</v>
      </c>
    </row>
    <row r="13" spans="2:10" ht="16.5" customHeight="1" thickBot="1">
      <c r="B13" s="222" t="s">
        <v>13</v>
      </c>
      <c r="C13" s="223">
        <f>IF(ISERROR(SUM(D13*4)/SUM(D13*4+D14*4+D15*9)),"0",(D13*4)/SUM(D13*4+D14*4+D15*9))</f>
        <v>0.3619800956397131</v>
      </c>
      <c r="D13" s="224">
        <f>SUM(Day3!$D$33+Day3!$D$65+Day3!$D$97+Day3!$D$129+Day3!$D$161+Day3!$D$193)</f>
        <v>204.23461129691563</v>
      </c>
      <c r="E13" s="226">
        <f>SUM(D15*9+D14*4+D13*4)</f>
        <v>2256.860128576737</v>
      </c>
      <c r="F13" s="217"/>
      <c r="G13" s="154" t="s">
        <v>51</v>
      </c>
      <c r="H13" s="239">
        <f>I13+(I13*0.15)</f>
        <v>3634.3334116726105</v>
      </c>
      <c r="I13" s="240">
        <f>AVERAGE(IF(Gender="Male",((66+(13.7*(Weight/2.2))+(5*(Height*2.54)))-(6.8*Age))*IF(Lifestyle="sedentary",1.2,IF(Lifestyle="Barely Active",1.375,IF(Lifestyle="Active",1.55,IF(Lifestyle="Very Active",1.725,IF(Lifestyle="Extremely Active",1.9))))),((655+(9.6*(Weight/2.2))+(1.8*(Height*2.54)))-(4.7*Age))*IF(Lifestyle="sedentary",1.2,IF(Lifestyle="Barely Active",1.375,IF(Lifestyle="Active",1.55,IF(Lifestyle="Very Active",1.725,IF(Lifestyle="Extremely Active",1.9)))))),((((Weight-(Weight*BodyFatPercentage%))/2.2)*21.6)+370)*IF(Lifestyle="sedentary",1.2,IF(Lifestyle="Barely Active",1.375,IF(Lifestyle="Active",1.55,IF(Lifestyle="Very Active",1.725,IF(Lifestyle="Extremely Active",1.9))))))</f>
        <v>3160.2899231935744</v>
      </c>
      <c r="J13" s="226">
        <f>I13-(I13*0.175)</f>
        <v>2607.239186634699</v>
      </c>
    </row>
    <row r="14" spans="2:10" ht="16.5" customHeight="1" thickBot="1">
      <c r="B14" s="227" t="s">
        <v>54</v>
      </c>
      <c r="C14" s="228">
        <f>IF(ISERROR(SUM(D14*4)/SUM(D13*4+D14*4+D15*9)),"0",(D14*4)/SUM(D13*4+D14*4+D15*9))</f>
        <v>0.3747346350465094</v>
      </c>
      <c r="D14" s="229">
        <f>SUM(Day3!$E$33+Day3!$E$65+Day3!$E$97+Day3!$E$129+Day3!$E$161+Day3!$E$193)</f>
        <v>211.43091415830546</v>
      </c>
      <c r="E14" s="231" t="s">
        <v>75</v>
      </c>
      <c r="G14" s="154" t="s">
        <v>66</v>
      </c>
      <c r="H14" s="241">
        <f>H13*7</f>
        <v>25440.333881708273</v>
      </c>
      <c r="I14" s="242">
        <f>I13*7</f>
        <v>22122.02946235502</v>
      </c>
      <c r="J14" s="243">
        <f>J13*7</f>
        <v>18250.674306442892</v>
      </c>
    </row>
    <row r="15" spans="2:10" ht="16.5" customHeight="1" thickBot="1">
      <c r="B15" s="232" t="s">
        <v>14</v>
      </c>
      <c r="C15" s="233">
        <f>IF(ISERROR(SUM(D15*9)/SUM(D13*4+D14*4+D15*9)),"0",(D15*9)/SUM(D13*4+D14*4+D15*9))</f>
        <v>0.26328526931377755</v>
      </c>
      <c r="D15" s="234">
        <f>SUM(Day3!$F$33+Day3!$F$65+Day3!$F$97+Day3!$F$129+Day3!$F$161+Day3!$F$193)</f>
        <v>66.02200297287254</v>
      </c>
      <c r="E15" s="235">
        <v>2500</v>
      </c>
      <c r="F15" s="217"/>
      <c r="G15" s="479" t="str">
        <f>HYPERLINK("http://www.wayofthedave.com","For instructions, go to WayoftheDave.com")</f>
        <v>For instructions, go to WayoftheDave.com</v>
      </c>
      <c r="H15" s="480"/>
      <c r="I15" s="480"/>
      <c r="J15" s="481"/>
    </row>
    <row r="16" ht="16.5" customHeight="1" thickBot="1">
      <c r="D16" s="155"/>
    </row>
    <row r="17" spans="2:10" ht="16.5" customHeight="1" thickBot="1">
      <c r="B17" s="156" t="str">
        <f>Day4!C14</f>
        <v>Day4</v>
      </c>
      <c r="C17" s="218" t="str">
        <f>$C$2</f>
        <v>Percentage</v>
      </c>
      <c r="D17" s="219" t="str">
        <f>$D$2</f>
        <v>Grams</v>
      </c>
      <c r="E17" s="220" t="str">
        <f>$E$2</f>
        <v>Total Calories</v>
      </c>
      <c r="G17" s="482" t="s">
        <v>69</v>
      </c>
      <c r="H17" s="484" t="s">
        <v>0</v>
      </c>
      <c r="I17" s="486" t="s">
        <v>53</v>
      </c>
      <c r="J17" s="488" t="s">
        <v>1</v>
      </c>
    </row>
    <row r="18" spans="2:10" ht="16.5" customHeight="1" thickBot="1">
      <c r="B18" s="222" t="s">
        <v>13</v>
      </c>
      <c r="C18" s="223">
        <f>IF(ISERROR(SUM(D18*4)/SUM(D18*4+D19*4+D20*9)),"0",(D18*4)/SUM(D18*4+D19*4+D20*9))</f>
        <v>0.3619800956397131</v>
      </c>
      <c r="D18" s="224">
        <f>SUM(Day4!$D$33+Day4!$D$65+Day4!$D$97+Day4!$D$129+Day4!$D$161+Day4!$D$193)</f>
        <v>204.23461129691563</v>
      </c>
      <c r="E18" s="226">
        <f>SUM(D20*9+D19*4+D18*4)</f>
        <v>2256.860128576737</v>
      </c>
      <c r="F18" s="217"/>
      <c r="G18" s="483"/>
      <c r="H18" s="485"/>
      <c r="I18" s="487"/>
      <c r="J18" s="489"/>
    </row>
    <row r="19" spans="2:10" ht="16.5" customHeight="1">
      <c r="B19" s="227" t="s">
        <v>54</v>
      </c>
      <c r="C19" s="228">
        <f>IF(ISERROR(SUM(D19*4)/SUM(D18*4+D19*4+D20*9)),"0",(D19*4)/SUM(D18*4+D19*4+D20*9))</f>
        <v>0.3747346350465094</v>
      </c>
      <c r="D19" s="229">
        <f>SUM(Day4!$E$33+Day4!$E$65+Day4!$E$97+Day4!$E$129+Day4!$E$161+Day4!$E$193)</f>
        <v>211.43091415830546</v>
      </c>
      <c r="E19" s="231" t="str">
        <f>E9</f>
        <v>Calorie Aim</v>
      </c>
      <c r="G19" s="244" t="s">
        <v>55</v>
      </c>
      <c r="H19" s="245">
        <f>IF(DayList=Rest1,Day1!D33)+IF(DayList=Rest2,Day3!D33)+IF(DayList=Rest3,Day5!D33)+IF(DayList=Rest4,Day7!D33)+IF(DayList=WO1,Day2!D33)+IF(DayList=WO2,Day4!D33)+IF(DayList=WO3,Day6!D33)</f>
        <v>51.620000000000005</v>
      </c>
      <c r="I19" s="245">
        <f>IF(DayList=Rest1,Day1!E33)+IF(DayList=Rest2,Day3!E33)+IF(DayList=Rest3,Day5!E33)+IF(DayList=Rest4,Day7!E33)+IF(DayList=WO1,Day2!E33)+IF(DayList=WO2,Day4!E33)+IF(DayList=WO3,Day6!E33)</f>
        <v>33.345000000000006</v>
      </c>
      <c r="J19" s="246">
        <f>IF(DayList=Rest1,Day1!F33)+IF(DayList=Rest2,Day3!F33)+IF(DayList=Rest3,Day5!F33)+IF(DayList=Rest4,Day7!F33)+IF(DayList=WO1,Day2!F33)+IF(DayList=WO2,Day4!F33)+IF(DayList=WO3,Day6!F33)</f>
        <v>31.520000000000007</v>
      </c>
    </row>
    <row r="20" spans="2:10" ht="16.5" customHeight="1" thickBot="1">
      <c r="B20" s="232" t="s">
        <v>14</v>
      </c>
      <c r="C20" s="233">
        <f>IF(ISERROR(SUM(D20*9)/SUM(D18*4+D19*4+D20*9)),"0",(D20*9)/SUM(D18*4+D19*4+D20*9))</f>
        <v>0.26328526931377755</v>
      </c>
      <c r="D20" s="234">
        <f>SUM(Day4!$F$33+Day4!$F$65+Day4!$F$97+Day4!$F$129+Day4!$F$161+Day4!$F$193)</f>
        <v>66.02200297287254</v>
      </c>
      <c r="E20" s="235">
        <v>2500</v>
      </c>
      <c r="F20" s="217"/>
      <c r="G20" s="244" t="s">
        <v>56</v>
      </c>
      <c r="H20" s="247">
        <f>IF(DayList=Rest1,Day1!D65)+IF(DayList=Rest2,Day3!D65)+IF(DayList=Rest3,Day5!D65)+IF(DayList=Rest4,Day7!D65)+IF(DayList=WO1,Day2!D65)+IF(DayList=WO2,Day4!D65)+IF(DayList=WO3,Day6!D65)</f>
        <v>66.959</v>
      </c>
      <c r="I20" s="247">
        <f>IF(DayList=Rest1,Day1!E65)+IF(DayList=Rest2,Day3!E65)+IF(DayList=Rest3,Day5!E65)+IF(DayList=Rest4,Day7!E65)+IF(DayList=WO1,Day2!E65)+IF(DayList=WO2,Day4!E65)+IF(DayList=WO3,Day6!E65)</f>
        <v>100.08</v>
      </c>
      <c r="J20" s="248">
        <f>IF(DayList=Rest1,Day1!F65)+IF(DayList=Rest2,Day3!F65)+IF(DayList=Rest3,Day5!F65)+IF(DayList=Rest4,Day7!F65)+IF(DayList=WO1,Day2!F65)+IF(DayList=WO2,Day4!F65)+IF(DayList=WO3,Day6!F65)</f>
        <v>31.255000000000003</v>
      </c>
    </row>
    <row r="21" spans="4:10" ht="16.5" customHeight="1" thickBot="1">
      <c r="D21" s="155"/>
      <c r="G21" s="244" t="s">
        <v>57</v>
      </c>
      <c r="H21" s="247">
        <f>IF(DayList=Rest1,Day1!D97)+IF(DayList=Rest2,Day3!D97)+IF(DayList=Rest3,Day5!D97)+IF(DayList=Rest4,Day7!D97)+IF(DayList=WO1,Day2!D97)+IF(DayList=WO2,Day4!D97)+IF(DayList=WO3,Day6!D97)</f>
        <v>69.68090301003345</v>
      </c>
      <c r="I21" s="247">
        <f>IF(DayList=Rest1,Day1!E97)+IF(DayList=Rest2,Day3!E97)+IF(DayList=Rest3,Day5!E97)+IF(DayList=Rest4,Day7!E97)+IF(DayList=WO1,Day2!E97)+IF(DayList=WO2,Day4!E97)+IF(DayList=WO3,Day6!E97)</f>
        <v>61.307809364548504</v>
      </c>
      <c r="J21" s="248">
        <f>IF(DayList=Rest1,Day1!F97)+IF(DayList=Rest2,Day3!F97)+IF(DayList=Rest3,Day5!F97)+IF(DayList=Rest4,Day7!F97)+IF(DayList=WO1,Day2!F97)+IF(DayList=WO2,Day4!F97)+IF(DayList=WO3,Day6!F97)</f>
        <v>4.599448160535117</v>
      </c>
    </row>
    <row r="22" spans="2:10" ht="16.5" customHeight="1" thickBot="1">
      <c r="B22" s="156" t="str">
        <f>Day5!C14</f>
        <v>Day5</v>
      </c>
      <c r="C22" s="218" t="str">
        <f>$C$2</f>
        <v>Percentage</v>
      </c>
      <c r="D22" s="219" t="str">
        <f>$D$2</f>
        <v>Grams</v>
      </c>
      <c r="E22" s="220" t="str">
        <f>$E$2</f>
        <v>Total Calories</v>
      </c>
      <c r="G22" s="244" t="s">
        <v>58</v>
      </c>
      <c r="H22" s="247">
        <f>IF(DayList=Rest1,Day1!D129)+IF(DayList=Rest2,Day3!D129)+IF(DayList=Rest3,Day5!D129)+IF(DayList=Rest4,Day7!D129)+IF(DayList=WO1,Day2!D129)+IF(DayList=WO2,Day4!D129)+IF(DayList=WO3,Day6!D129)</f>
        <v>26.38888888888889</v>
      </c>
      <c r="I22" s="247">
        <f>IF(DayList=Rest1,Day1!E129)+IF(DayList=Rest2,Day3!E129)+IF(DayList=Rest3,Day5!E129)+IF(DayList=Rest4,Day7!E129)+IF(DayList=WO1,Day2!E129)+IF(DayList=WO2,Day4!E129)+IF(DayList=WO3,Day6!E129)</f>
        <v>27.166666666666664</v>
      </c>
      <c r="J22" s="248">
        <f>IF(DayList=Rest1,Day1!F129)+IF(DayList=Rest2,Day3!F129)+IF(DayList=Rest3,Day5!F129)+IF(DayList=Rest4,Day7!F129)+IF(DayList=WO1,Day2!F129)+IF(DayList=WO2,Day4!F129)+IF(DayList=WO3,Day6!F129)</f>
        <v>0.8944444444444444</v>
      </c>
    </row>
    <row r="23" spans="2:10" ht="16.5" customHeight="1" thickBot="1">
      <c r="B23" s="222" t="s">
        <v>13</v>
      </c>
      <c r="C23" s="223">
        <f>IF(ISERROR(SUM(D23*4)/SUM(D23*4+D24*4+D25*9)),"0",(D23*4)/SUM(D23*4+D24*4+D25*9))</f>
        <v>0.37386767727775744</v>
      </c>
      <c r="D23" s="224">
        <f>SUM(Day5!$D$33+Day5!$D$65+Day5!$D$97+Day5!$D$129+Day5!$D$161+Day5!$D$193)</f>
        <v>215.77961129691565</v>
      </c>
      <c r="E23" s="226">
        <f>SUM(D25*9+D24*4+D23*4)</f>
        <v>2308.620128576737</v>
      </c>
      <c r="F23" s="217"/>
      <c r="G23" s="244" t="s">
        <v>59</v>
      </c>
      <c r="H23" s="247">
        <f>IF(DayList=Rest1,Day1!D161)+IF(DayList=Rest2,Day3!D161)+IF(DayList=Rest3,Day5!D161)+IF(DayList=Rest4,Day7!D161)+IF(DayList=WO1,Day2!D161)+IF(DayList=WO2,Day4!D161)+IF(DayList=WO3,Day6!D161)</f>
        <v>0</v>
      </c>
      <c r="I23" s="247">
        <f>IF(DayList=Rest1,Day1!E161)+IF(DayList=Rest2,Day3!E161)+IF(DayList=Rest3,Day5!E161)+IF(DayList=Rest4,Day7!E161)+IF(DayList=WO1,Day2!E161)+IF(DayList=WO2,Day4!E161)+IF(DayList=WO3,Day6!E161)</f>
        <v>0</v>
      </c>
      <c r="J23" s="248">
        <f>IF(DayList=Rest1,Day1!F161)+IF(DayList=Rest2,Day3!F161)+IF(DayList=Rest3,Day5!F161)+IF(DayList=Rest4,Day7!F161)+IF(DayList=WO1,Day2!F161)+IF(DayList=WO2,Day4!F161)+IF(DayList=WO3,Day6!F161)</f>
        <v>0</v>
      </c>
    </row>
    <row r="24" spans="2:10" ht="16.5" customHeight="1">
      <c r="B24" s="227" t="s">
        <v>54</v>
      </c>
      <c r="C24" s="228">
        <f>IF(ISERROR(SUM(D24*4)/SUM(D23*4+D24*4+D25*9)),"0",(D24*4)/SUM(D23*4+D24*4+D25*9))</f>
        <v>0.36633296494499934</v>
      </c>
      <c r="D24" s="229">
        <f>SUM(Day5!$E$33+Day5!$E$65+Day5!$E$97+Day5!$E$129+Day5!$E$161+Day5!$E$193)</f>
        <v>211.43091415830546</v>
      </c>
      <c r="E24" s="231" t="s">
        <v>75</v>
      </c>
      <c r="G24" s="249" t="s">
        <v>60</v>
      </c>
      <c r="H24" s="250">
        <f>IF(DayList=Rest1,Day1!D193)+IF(DayList=Rest2,Day3!D193)+IF(DayList=Rest3,Day5!D193)+IF(DayList=Rest4,Day7!D193)+IF(DayList=WO1,Day2!D193)+IF(DayList=WO2,Day4!D193)+IF(DayList=WO3,Day6!D193)</f>
        <v>0</v>
      </c>
      <c r="I24" s="250">
        <f>IF(DayList=Rest1,Day1!E193)+IF(DayList=Rest2,Day3!E193)+IF(DayList=Rest3,Day5!E193)+IF(DayList=Rest4,Day7!E193)+IF(DayList=WO1,Day2!E193)+IF(DayList=WO2,Day4!E193)+IF(DayList=WO3,Day6!E193)</f>
        <v>0</v>
      </c>
      <c r="J24" s="251">
        <f>IF(DayList=Rest1,Day1!F193)+IF(DayList=Rest2,Day3!F193)+IF(DayList=Rest3,Day5!F193)+IF(DayList=Rest4,Day7!F193)+IF(DayList=WO1,Day2!F193)+IF(DayList=WO2,Day4!F193)+IF(DayList=WO3,Day6!F193)</f>
        <v>0</v>
      </c>
    </row>
    <row r="25" spans="2:10" ht="16.5" customHeight="1" thickBot="1">
      <c r="B25" s="232" t="s">
        <v>14</v>
      </c>
      <c r="C25" s="233">
        <f>IF(ISERROR(SUM(D25*9)/SUM(D23*4+D24*4+D25*9)),"0",(D25*9)/SUM(D23*4+D24*4+D25*9))</f>
        <v>0.2597993577772431</v>
      </c>
      <c r="D25" s="234">
        <f>SUM(Day5!$F$33+Day5!$F$65+Day5!$F$97+Day5!$F$129+Day5!$F$161+Day5!$F$193)</f>
        <v>66.64200297287253</v>
      </c>
      <c r="E25" s="235">
        <v>2500</v>
      </c>
      <c r="F25" s="217"/>
      <c r="G25" s="252" t="s">
        <v>2</v>
      </c>
      <c r="H25" s="253">
        <f>SUM(H19:H24)</f>
        <v>214.64879189892233</v>
      </c>
      <c r="I25" s="253">
        <f>SUM(I19:I24)</f>
        <v>221.8994760312152</v>
      </c>
      <c r="J25" s="254">
        <f>SUM(J19:J24)</f>
        <v>68.26889260497957</v>
      </c>
    </row>
    <row r="26" spans="4:9" ht="15.75">
      <c r="D26" s="155"/>
      <c r="I26" s="217"/>
    </row>
    <row r="27" spans="2:15" ht="15.75" hidden="1">
      <c r="B27" s="155" t="str">
        <f>Rest1</f>
        <v>Day1</v>
      </c>
      <c r="C27" s="155" t="str">
        <f>WO1</f>
        <v>Day2</v>
      </c>
      <c r="D27" s="155" t="str">
        <f>Rest2</f>
        <v>Day3</v>
      </c>
      <c r="E27" s="155" t="str">
        <f>WO2</f>
        <v>Day4</v>
      </c>
      <c r="F27" s="155" t="str">
        <f>Rest3</f>
        <v>Day5</v>
      </c>
      <c r="G27" s="155" t="str">
        <f>WO3</f>
        <v>Day6</v>
      </c>
      <c r="H27" s="155" t="str">
        <f>Rest4</f>
        <v>Day7</v>
      </c>
      <c r="I27" s="217"/>
      <c r="K27" s="255"/>
      <c r="L27" s="255"/>
      <c r="M27" s="255"/>
      <c r="N27" s="255"/>
      <c r="O27" s="255"/>
    </row>
    <row r="28" spans="9:15" ht="15.75">
      <c r="I28" s="217"/>
      <c r="K28" s="256"/>
      <c r="L28" s="256"/>
      <c r="M28" s="256"/>
      <c r="N28" s="256"/>
      <c r="O28" s="256"/>
    </row>
    <row r="29" ht="15.75">
      <c r="I29" s="217"/>
    </row>
    <row r="30" ht="14.25" customHeight="1">
      <c r="I30" s="217"/>
    </row>
    <row r="31" spans="9:11" ht="14.25" customHeight="1">
      <c r="I31" s="217"/>
      <c r="K31" s="155"/>
    </row>
    <row r="32" ht="14.25" customHeight="1">
      <c r="K32" s="155"/>
    </row>
    <row r="33" ht="14.25" customHeight="1">
      <c r="K33" s="155"/>
    </row>
    <row r="36" spans="2:5" ht="14.25" customHeight="1">
      <c r="B36" s="217">
        <f>J6</f>
        <v>0</v>
      </c>
      <c r="D36" s="155"/>
      <c r="E36" s="217"/>
    </row>
    <row r="37" spans="2:5" ht="14.25" customHeight="1">
      <c r="B37" s="217"/>
      <c r="E37" s="217"/>
    </row>
    <row r="38" spans="4:6" ht="14.25" customHeight="1">
      <c r="D38" s="155"/>
      <c r="E38" s="217"/>
      <c r="F38" s="217"/>
    </row>
    <row r="39" spans="2:6" ht="14.25" customHeight="1">
      <c r="B39" s="257"/>
      <c r="D39" s="155"/>
      <c r="E39" s="258"/>
      <c r="F39" s="258"/>
    </row>
    <row r="40" spans="2:4" ht="14.25" customHeight="1">
      <c r="B40" s="257"/>
      <c r="D40" s="155"/>
    </row>
    <row r="41" spans="2:4" ht="14.25" customHeight="1">
      <c r="B41" s="257"/>
      <c r="D41" s="155"/>
    </row>
    <row r="42" ht="14.25" customHeight="1">
      <c r="B42" s="257"/>
    </row>
    <row r="43" spans="2:4" ht="14.25" customHeight="1">
      <c r="B43" s="257"/>
      <c r="D43" s="155"/>
    </row>
    <row r="44" spans="2:4" ht="14.25" customHeight="1">
      <c r="B44" s="257"/>
      <c r="D44" s="155"/>
    </row>
    <row r="45" spans="2:4" ht="14.25" customHeight="1">
      <c r="B45" s="257"/>
      <c r="D45" s="155"/>
    </row>
    <row r="46" spans="2:4" ht="14.25" customHeight="1">
      <c r="B46" s="217"/>
      <c r="D46" s="155"/>
    </row>
    <row r="47" spans="2:4" ht="14.25" customHeight="1">
      <c r="B47" s="217"/>
      <c r="D47" s="155"/>
    </row>
    <row r="48" spans="2:4" ht="14.25" customHeight="1">
      <c r="B48" s="217"/>
      <c r="D48" s="155"/>
    </row>
    <row r="49" spans="2:4" ht="14.25" customHeight="1">
      <c r="B49" s="217"/>
      <c r="D49" s="155"/>
    </row>
    <row r="50" spans="2:4" ht="14.25" customHeight="1">
      <c r="B50" s="217"/>
      <c r="D50" s="155"/>
    </row>
    <row r="51" spans="2:4" ht="14.25" customHeight="1">
      <c r="B51" s="217"/>
      <c r="D51" s="155"/>
    </row>
    <row r="52" spans="2:4" ht="14.25" customHeight="1">
      <c r="B52" s="217"/>
      <c r="D52" s="155"/>
    </row>
    <row r="53" spans="2:4" ht="14.25" customHeight="1">
      <c r="B53" s="217"/>
      <c r="D53" s="155"/>
    </row>
    <row r="54" spans="2:4" ht="14.25" customHeight="1">
      <c r="B54" s="217"/>
      <c r="D54" s="155"/>
    </row>
    <row r="55" spans="2:4" ht="14.25" customHeight="1">
      <c r="B55" s="217"/>
      <c r="D55" s="155"/>
    </row>
    <row r="56" spans="2:4" ht="14.25" customHeight="1">
      <c r="B56" s="217"/>
      <c r="D56" s="155"/>
    </row>
    <row r="57" spans="2:4" ht="14.25" customHeight="1">
      <c r="B57" s="217"/>
      <c r="C57" s="259"/>
      <c r="D57" s="259"/>
    </row>
    <row r="58" spans="2:4" ht="14.25" customHeight="1">
      <c r="B58" s="217"/>
      <c r="C58" s="259"/>
      <c r="D58" s="259"/>
    </row>
    <row r="59" spans="2:4" ht="14.25" customHeight="1">
      <c r="B59" s="217"/>
      <c r="C59" s="259"/>
      <c r="D59" s="259"/>
    </row>
    <row r="60" spans="2:4" ht="14.25" customHeight="1">
      <c r="B60" s="217"/>
      <c r="C60" s="259"/>
      <c r="D60" s="259"/>
    </row>
    <row r="61" spans="2:4" ht="14.25" customHeight="1">
      <c r="B61" s="217"/>
      <c r="C61" s="259"/>
      <c r="D61" s="259"/>
    </row>
    <row r="62" spans="2:4" ht="14.25" customHeight="1">
      <c r="B62" s="217"/>
      <c r="C62" s="259"/>
      <c r="D62" s="259"/>
    </row>
    <row r="63" spans="2:4" ht="14.25" customHeight="1">
      <c r="B63" s="217"/>
      <c r="C63" s="259"/>
      <c r="D63" s="259"/>
    </row>
    <row r="64" spans="2:4" ht="14.25" customHeight="1">
      <c r="B64" s="217"/>
      <c r="C64" s="259"/>
      <c r="D64" s="259"/>
    </row>
    <row r="65" spans="2:4" ht="14.25" customHeight="1">
      <c r="B65" s="217"/>
      <c r="C65" s="259"/>
      <c r="D65" s="259"/>
    </row>
    <row r="66" spans="2:4" ht="14.25" customHeight="1">
      <c r="B66" s="217"/>
      <c r="C66" s="259"/>
      <c r="D66" s="259"/>
    </row>
    <row r="67" spans="2:4" ht="14.25" customHeight="1">
      <c r="B67" s="217"/>
      <c r="C67" s="259"/>
      <c r="D67" s="259"/>
    </row>
    <row r="68" spans="2:4" ht="14.25" customHeight="1">
      <c r="B68" s="217"/>
      <c r="C68" s="259"/>
      <c r="D68" s="259"/>
    </row>
    <row r="69" spans="2:4" ht="14.25" customHeight="1">
      <c r="B69" s="217"/>
      <c r="C69" s="259"/>
      <c r="D69" s="259"/>
    </row>
    <row r="70" spans="2:4" ht="14.25" customHeight="1">
      <c r="B70" s="217"/>
      <c r="C70" s="259"/>
      <c r="D70" s="259"/>
    </row>
    <row r="71" spans="2:4" ht="14.25" customHeight="1">
      <c r="B71" s="217"/>
      <c r="C71" s="259"/>
      <c r="D71" s="259"/>
    </row>
    <row r="72" spans="2:4" ht="14.25" customHeight="1">
      <c r="B72" s="217"/>
      <c r="C72" s="259"/>
      <c r="D72" s="259"/>
    </row>
    <row r="73" spans="2:4" ht="14.25" customHeight="1">
      <c r="B73" s="217"/>
      <c r="C73" s="259"/>
      <c r="D73" s="259"/>
    </row>
    <row r="74" spans="2:3" ht="14.25" customHeight="1">
      <c r="B74" s="217"/>
      <c r="C74" s="259"/>
    </row>
    <row r="7021" ht="14.25" customHeight="1">
      <c r="AY7021" s="395" t="s">
        <v>140</v>
      </c>
    </row>
    <row r="7025" ht="14.25" customHeight="1">
      <c r="FT7025" s="260" t="s">
        <v>32</v>
      </c>
    </row>
    <row r="7026" ht="14.25" customHeight="1">
      <c r="FT7026" s="260" t="s">
        <v>65</v>
      </c>
    </row>
  </sheetData>
  <sheetProtection password="A651" sheet="1" selectLockedCells="1"/>
  <mergeCells count="5">
    <mergeCell ref="G15:J15"/>
    <mergeCell ref="G17:G18"/>
    <mergeCell ref="H17:H18"/>
    <mergeCell ref="I17:I18"/>
    <mergeCell ref="J17:J18"/>
  </mergeCells>
  <dataValidations count="1">
    <dataValidation type="list" allowBlank="1" showInputMessage="1" showErrorMessage="1" sqref="G17">
      <formula1>list</formula1>
    </dataValidation>
  </dataValidations>
  <hyperlinks>
    <hyperlink ref="B2" location="A1W1" display="A1W1"/>
    <hyperlink ref="B7" location="A1W2" display="A1W2"/>
    <hyperlink ref="B12" location="A1W3" display="A1W3"/>
    <hyperlink ref="B17" location="A1W4" display="A1W4"/>
    <hyperlink ref="B22" location="A1W5" display="A1W5"/>
    <hyperlink ref="G2" location="A1W6" display="A1W6"/>
    <hyperlink ref="G7" location="A1W7" display="A1W7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  <ignoredErrors>
    <ignoredError sqref="G15 G7 B7 B2:B5 B8:B10 G2:G5 B12:B15 B17:B20 B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0"/>
    <pageSetUpPr fitToPage="1"/>
  </sheetPr>
  <dimension ref="A1:P113"/>
  <sheetViews>
    <sheetView showGridLines="0" showRowColHeaders="0" showZeros="0" showOutlineSymbols="0" workbookViewId="0" topLeftCell="A1">
      <selection activeCell="B16" sqref="B16"/>
    </sheetView>
  </sheetViews>
  <sheetFormatPr defaultColWidth="9.140625" defaultRowHeight="28.5" customHeight="1"/>
  <cols>
    <col min="1" max="1" width="23.421875" style="187" bestFit="1" customWidth="1"/>
    <col min="2" max="10" width="17.28125" style="187" customWidth="1"/>
    <col min="11" max="11" width="34.00390625" style="187" customWidth="1"/>
    <col min="12" max="12" width="16.00390625" style="187" customWidth="1"/>
    <col min="13" max="13" width="11.140625" style="187" bestFit="1" customWidth="1"/>
    <col min="14" max="14" width="6.140625" style="187" bestFit="1" customWidth="1"/>
    <col min="15" max="15" width="23.57421875" style="187" bestFit="1" customWidth="1"/>
    <col min="16" max="16384" width="9.140625" style="187" customWidth="1"/>
  </cols>
  <sheetData>
    <row r="1" spans="1:16" ht="24" customHeight="1">
      <c r="A1" s="285" t="s">
        <v>83</v>
      </c>
      <c r="B1" s="291"/>
      <c r="C1" s="285" t="s">
        <v>80</v>
      </c>
      <c r="D1" s="278">
        <f ca="1">TODAY()</f>
        <v>41356</v>
      </c>
      <c r="E1" s="417" t="s">
        <v>82</v>
      </c>
      <c r="F1" s="417"/>
      <c r="G1" s="292">
        <v>7</v>
      </c>
      <c r="H1" s="186" t="s">
        <v>67</v>
      </c>
      <c r="P1" s="186"/>
    </row>
    <row r="2" ht="7.5" customHeight="1"/>
    <row r="3" spans="1:10" s="43" customFormat="1" ht="27" customHeight="1">
      <c r="A3" s="43" t="s">
        <v>33</v>
      </c>
      <c r="B3" s="43" t="s">
        <v>3</v>
      </c>
      <c r="C3" s="43" t="s">
        <v>11</v>
      </c>
      <c r="D3" s="43" t="s">
        <v>28</v>
      </c>
      <c r="E3" s="43" t="s">
        <v>30</v>
      </c>
      <c r="F3" s="43" t="s">
        <v>8</v>
      </c>
      <c r="G3" s="43" t="s">
        <v>5</v>
      </c>
      <c r="H3" s="43" t="s">
        <v>7</v>
      </c>
      <c r="I3" s="43" t="s">
        <v>9</v>
      </c>
      <c r="J3" s="43" t="s">
        <v>10</v>
      </c>
    </row>
    <row r="4" spans="1:10" ht="27" customHeight="1">
      <c r="A4" s="289" t="s">
        <v>34</v>
      </c>
      <c r="B4" s="290">
        <f>Weight</f>
        <v>198</v>
      </c>
      <c r="C4" s="290">
        <f>Bodyfat</f>
        <v>28.478444980533773</v>
      </c>
      <c r="D4" s="290">
        <f>LBM</f>
        <v>169.52155501946623</v>
      </c>
      <c r="E4" s="290">
        <f>BodyFatPercentage</f>
        <v>14.383053020471603</v>
      </c>
      <c r="F4" s="290">
        <f>Abdomen</f>
        <v>32.5</v>
      </c>
      <c r="G4" s="290">
        <f>Waist</f>
        <v>33.5</v>
      </c>
      <c r="H4" s="290">
        <f>Wrist</f>
        <v>0</v>
      </c>
      <c r="I4" s="290">
        <f>Hip</f>
        <v>0</v>
      </c>
      <c r="J4" s="290">
        <f>Forearm</f>
        <v>0</v>
      </c>
    </row>
    <row r="5" spans="1:10" ht="27" customHeight="1">
      <c r="A5" s="274">
        <f ca="1">IF(B1=0,TODAY(),B1)</f>
        <v>41356</v>
      </c>
      <c r="B5" s="189"/>
      <c r="C5" s="189"/>
      <c r="D5" s="189"/>
      <c r="E5" s="189"/>
      <c r="F5" s="189"/>
      <c r="G5" s="189"/>
      <c r="H5" s="189"/>
      <c r="I5" s="189"/>
      <c r="J5" s="276"/>
    </row>
    <row r="6" spans="1:10" ht="27" customHeight="1">
      <c r="A6" s="274">
        <f aca="true" ca="1" t="shared" si="0" ref="A6:A20">IF(A5=0,TODAY(),A5+$G$1)</f>
        <v>41363</v>
      </c>
      <c r="B6" s="189"/>
      <c r="C6" s="189"/>
      <c r="D6" s="189"/>
      <c r="E6" s="189"/>
      <c r="F6" s="189"/>
      <c r="G6" s="189"/>
      <c r="H6" s="189"/>
      <c r="I6" s="189"/>
      <c r="J6" s="276"/>
    </row>
    <row r="7" spans="1:10" ht="27" customHeight="1">
      <c r="A7" s="274">
        <f ca="1" t="shared" si="0"/>
        <v>41370</v>
      </c>
      <c r="B7" s="189"/>
      <c r="C7" s="189"/>
      <c r="D7" s="189"/>
      <c r="E7" s="189"/>
      <c r="F7" s="189"/>
      <c r="G7" s="189"/>
      <c r="H7" s="189"/>
      <c r="I7" s="189"/>
      <c r="J7" s="276"/>
    </row>
    <row r="8" spans="1:10" ht="27" customHeight="1">
      <c r="A8" s="274">
        <f ca="1" t="shared" si="0"/>
        <v>41377</v>
      </c>
      <c r="B8" s="189"/>
      <c r="C8" s="189"/>
      <c r="D8" s="189"/>
      <c r="E8" s="189"/>
      <c r="F8" s="189"/>
      <c r="G8" s="189"/>
      <c r="H8" s="189"/>
      <c r="I8" s="189"/>
      <c r="J8" s="276"/>
    </row>
    <row r="9" spans="1:10" ht="27" customHeight="1">
      <c r="A9" s="274">
        <f ca="1" t="shared" si="0"/>
        <v>41384</v>
      </c>
      <c r="B9" s="189"/>
      <c r="C9" s="189"/>
      <c r="D9" s="189"/>
      <c r="E9" s="189"/>
      <c r="F9" s="189"/>
      <c r="G9" s="189"/>
      <c r="H9" s="189"/>
      <c r="I9" s="189"/>
      <c r="J9" s="276"/>
    </row>
    <row r="10" spans="1:10" ht="27" customHeight="1">
      <c r="A10" s="274">
        <f ca="1" t="shared" si="0"/>
        <v>41391</v>
      </c>
      <c r="B10" s="189"/>
      <c r="C10" s="189"/>
      <c r="D10" s="189"/>
      <c r="E10" s="189"/>
      <c r="F10" s="189"/>
      <c r="G10" s="189"/>
      <c r="H10" s="189"/>
      <c r="I10" s="189"/>
      <c r="J10" s="276"/>
    </row>
    <row r="11" spans="1:10" ht="27" customHeight="1">
      <c r="A11" s="274">
        <f ca="1" t="shared" si="0"/>
        <v>41398</v>
      </c>
      <c r="B11" s="189"/>
      <c r="C11" s="189"/>
      <c r="D11" s="189"/>
      <c r="E11" s="189"/>
      <c r="F11" s="189"/>
      <c r="G11" s="189"/>
      <c r="H11" s="189"/>
      <c r="I11" s="189"/>
      <c r="J11" s="276"/>
    </row>
    <row r="12" spans="1:10" ht="27" customHeight="1">
      <c r="A12" s="274">
        <f ca="1" t="shared" si="0"/>
        <v>41405</v>
      </c>
      <c r="B12" s="189"/>
      <c r="C12" s="189"/>
      <c r="D12" s="189"/>
      <c r="E12" s="189"/>
      <c r="F12" s="189"/>
      <c r="G12" s="189"/>
      <c r="H12" s="189"/>
      <c r="I12" s="189"/>
      <c r="J12" s="276"/>
    </row>
    <row r="13" spans="1:10" ht="27" customHeight="1">
      <c r="A13" s="274">
        <f ca="1" t="shared" si="0"/>
        <v>41412</v>
      </c>
      <c r="B13" s="189"/>
      <c r="C13" s="189"/>
      <c r="D13" s="189"/>
      <c r="E13" s="189"/>
      <c r="F13" s="189"/>
      <c r="G13" s="189"/>
      <c r="H13" s="189"/>
      <c r="I13" s="189"/>
      <c r="J13" s="276"/>
    </row>
    <row r="14" spans="1:10" ht="27" customHeight="1">
      <c r="A14" s="274">
        <f ca="1" t="shared" si="0"/>
        <v>41419</v>
      </c>
      <c r="B14" s="189"/>
      <c r="C14" s="189"/>
      <c r="D14" s="189"/>
      <c r="E14" s="189"/>
      <c r="F14" s="189"/>
      <c r="G14" s="189"/>
      <c r="H14" s="189"/>
      <c r="I14" s="189"/>
      <c r="J14" s="276"/>
    </row>
    <row r="15" spans="1:10" ht="27" customHeight="1">
      <c r="A15" s="274">
        <f ca="1" t="shared" si="0"/>
        <v>41426</v>
      </c>
      <c r="B15" s="189"/>
      <c r="C15" s="189"/>
      <c r="D15" s="189"/>
      <c r="E15" s="189"/>
      <c r="F15" s="189"/>
      <c r="G15" s="189"/>
      <c r="H15" s="189"/>
      <c r="I15" s="189"/>
      <c r="J15" s="276"/>
    </row>
    <row r="16" spans="1:10" ht="27" customHeight="1">
      <c r="A16" s="274">
        <f ca="1" t="shared" si="0"/>
        <v>41433</v>
      </c>
      <c r="B16" s="189"/>
      <c r="C16" s="189"/>
      <c r="D16" s="189"/>
      <c r="E16" s="189"/>
      <c r="F16" s="189"/>
      <c r="G16" s="189"/>
      <c r="H16" s="189"/>
      <c r="I16" s="189"/>
      <c r="J16" s="276"/>
    </row>
    <row r="17" spans="1:10" ht="27" customHeight="1">
      <c r="A17" s="274">
        <f ca="1" t="shared" si="0"/>
        <v>41440</v>
      </c>
      <c r="B17" s="189"/>
      <c r="C17" s="189"/>
      <c r="D17" s="189"/>
      <c r="E17" s="189"/>
      <c r="F17" s="189"/>
      <c r="G17" s="189"/>
      <c r="H17" s="189"/>
      <c r="I17" s="189"/>
      <c r="J17" s="276"/>
    </row>
    <row r="18" spans="1:10" ht="27" customHeight="1">
      <c r="A18" s="274">
        <f ca="1" t="shared" si="0"/>
        <v>41447</v>
      </c>
      <c r="B18" s="189"/>
      <c r="C18" s="189"/>
      <c r="D18" s="189"/>
      <c r="E18" s="189"/>
      <c r="F18" s="189"/>
      <c r="G18" s="189"/>
      <c r="H18" s="189"/>
      <c r="I18" s="189"/>
      <c r="J18" s="276"/>
    </row>
    <row r="19" spans="1:10" ht="27" customHeight="1">
      <c r="A19" s="274">
        <f ca="1" t="shared" si="0"/>
        <v>41454</v>
      </c>
      <c r="B19" s="189"/>
      <c r="C19" s="189"/>
      <c r="D19" s="189"/>
      <c r="E19" s="189"/>
      <c r="F19" s="189"/>
      <c r="G19" s="189"/>
      <c r="H19" s="189"/>
      <c r="I19" s="189"/>
      <c r="J19" s="276"/>
    </row>
    <row r="20" spans="1:10" ht="27" customHeight="1">
      <c r="A20" s="275">
        <f ca="1" t="shared" si="0"/>
        <v>41461</v>
      </c>
      <c r="B20" s="190"/>
      <c r="C20" s="190"/>
      <c r="D20" s="190"/>
      <c r="E20" s="190"/>
      <c r="F20" s="190"/>
      <c r="G20" s="190"/>
      <c r="H20" s="190"/>
      <c r="I20" s="190"/>
      <c r="J20" s="277"/>
    </row>
    <row r="21" spans="1:10" ht="27" customHeight="1">
      <c r="A21" s="187" t="s">
        <v>39</v>
      </c>
      <c r="B21" s="329"/>
      <c r="C21" s="272">
        <f>ROUND(B21*E21%,4)</f>
        <v>0</v>
      </c>
      <c r="D21" s="272">
        <f>ROUND(B21-C21,4)</f>
        <v>0</v>
      </c>
      <c r="E21" s="329"/>
      <c r="F21" s="329"/>
      <c r="G21" s="330"/>
      <c r="H21" s="330"/>
      <c r="I21" s="330"/>
      <c r="J21" s="330"/>
    </row>
    <row r="22" spans="1:10" ht="27" customHeight="1">
      <c r="A22" s="187" t="s">
        <v>79</v>
      </c>
      <c r="B22" s="273">
        <f aca="true" t="shared" si="1" ref="B22:J22">B21-B4</f>
        <v>-198</v>
      </c>
      <c r="C22" s="273">
        <f t="shared" si="1"/>
        <v>-28.478444980533773</v>
      </c>
      <c r="D22" s="273">
        <f t="shared" si="1"/>
        <v>-169.52155501946623</v>
      </c>
      <c r="E22" s="273">
        <f t="shared" si="1"/>
        <v>-14.383053020471603</v>
      </c>
      <c r="F22" s="273">
        <f t="shared" si="1"/>
        <v>-32.5</v>
      </c>
      <c r="G22" s="394">
        <f t="shared" si="1"/>
        <v>-33.5</v>
      </c>
      <c r="H22" s="394">
        <f t="shared" si="1"/>
        <v>0</v>
      </c>
      <c r="I22" s="394">
        <f t="shared" si="1"/>
        <v>0</v>
      </c>
      <c r="J22" s="394">
        <f t="shared" si="1"/>
        <v>0</v>
      </c>
    </row>
    <row r="23" spans="2:7" ht="27" customHeight="1">
      <c r="B23" s="418" t="str">
        <f>HYPERLINK("http://www.wayofthedave.com","- - &gt; For Instructions Go To Way Of The Dave  . Com &lt; - -")</f>
        <v>- - &gt; For Instructions Go To Way Of The Dave  . Com &lt; - -</v>
      </c>
      <c r="C23" s="419"/>
      <c r="D23" s="419"/>
      <c r="E23" s="419"/>
      <c r="F23" s="419"/>
      <c r="G23" s="420"/>
    </row>
    <row r="55" ht="28.5" customHeight="1">
      <c r="B55" s="271"/>
    </row>
    <row r="58" ht="28.5" customHeight="1">
      <c r="B58" s="186"/>
    </row>
    <row r="83" spans="5:7" ht="28.5" customHeight="1">
      <c r="E83" s="186"/>
      <c r="G83" s="186"/>
    </row>
    <row r="84" ht="28.5" customHeight="1">
      <c r="C84" s="194"/>
    </row>
    <row r="85" spans="1:3" ht="28.5" customHeight="1">
      <c r="A85" s="194"/>
      <c r="C85" s="194"/>
    </row>
    <row r="86" spans="1:5" ht="28.5" customHeight="1">
      <c r="A86" s="194"/>
      <c r="B86" s="195"/>
      <c r="C86" s="194"/>
      <c r="E86" s="191"/>
    </row>
    <row r="87" spans="1:3" ht="28.5" customHeight="1">
      <c r="A87" s="194"/>
      <c r="B87" s="195"/>
      <c r="C87" s="194"/>
    </row>
    <row r="88" spans="1:3" ht="28.5" customHeight="1">
      <c r="A88" s="194"/>
      <c r="B88" s="195"/>
      <c r="C88" s="194"/>
    </row>
    <row r="89" spans="1:9" ht="28.5" customHeight="1">
      <c r="A89" s="194"/>
      <c r="B89" s="195"/>
      <c r="C89" s="194"/>
      <c r="G89" s="191"/>
      <c r="H89" s="191"/>
      <c r="I89" s="191"/>
    </row>
    <row r="90" spans="1:3" ht="28.5" customHeight="1">
      <c r="A90" s="194"/>
      <c r="B90" s="195"/>
      <c r="C90" s="194"/>
    </row>
    <row r="91" spans="1:3" ht="28.5" customHeight="1">
      <c r="A91" s="194"/>
      <c r="B91" s="195"/>
      <c r="C91" s="194"/>
    </row>
    <row r="92" spans="1:3" ht="28.5" customHeight="1">
      <c r="A92" s="194"/>
      <c r="C92" s="194"/>
    </row>
    <row r="93" spans="1:3" ht="28.5" customHeight="1">
      <c r="A93" s="194"/>
      <c r="C93" s="191"/>
    </row>
    <row r="94" spans="1:3" ht="28.5" customHeight="1">
      <c r="A94" s="194"/>
      <c r="C94" s="191"/>
    </row>
    <row r="95" ht="28.5" customHeight="1">
      <c r="A95" s="194"/>
    </row>
    <row r="96" ht="28.5" customHeight="1">
      <c r="A96" s="194"/>
    </row>
    <row r="97" ht="28.5" customHeight="1">
      <c r="A97" s="194"/>
    </row>
    <row r="108" ht="28.5" customHeight="1">
      <c r="A108" s="194"/>
    </row>
    <row r="109" ht="28.5" customHeight="1">
      <c r="A109" s="194"/>
    </row>
    <row r="110" ht="28.5" customHeight="1">
      <c r="A110" s="194"/>
    </row>
    <row r="111" ht="28.5" customHeight="1">
      <c r="A111" s="194"/>
    </row>
    <row r="112" ht="28.5" customHeight="1">
      <c r="A112" s="194"/>
    </row>
    <row r="113" ht="28.5" customHeight="1">
      <c r="A113" s="194"/>
    </row>
  </sheetData>
  <sheetProtection password="F8BA" sheet="1" selectLockedCells="1"/>
  <mergeCells count="2">
    <mergeCell ref="E1:F1"/>
    <mergeCell ref="B23:G23"/>
  </mergeCells>
  <conditionalFormatting sqref="H22:J22">
    <cfRule type="expression" priority="1" dxfId="4" stopIfTrue="1">
      <formula>Gender="Male"</formula>
    </cfRule>
    <cfRule type="expression" priority="2" dxfId="7" stopIfTrue="1">
      <formula>$A22&lt;=TODAY()</formula>
    </cfRule>
  </conditionalFormatting>
  <conditionalFormatting sqref="A5:A20">
    <cfRule type="expression" priority="3" dxfId="8" stopIfTrue="1">
      <formula>$A5&lt;=TODAY()</formula>
    </cfRule>
    <cfRule type="expression" priority="4" dxfId="9" stopIfTrue="1">
      <formula>SUM($A5-TODAY())&lt;MeasurementDays</formula>
    </cfRule>
    <cfRule type="expression" priority="5" dxfId="0" stopIfTrue="1">
      <formula>$A5&gt;AltDeadline</formula>
    </cfRule>
  </conditionalFormatting>
  <conditionalFormatting sqref="C93:C94 H3:J21">
    <cfRule type="expression" priority="6" dxfId="4" stopIfTrue="1">
      <formula>Gender="Male"</formula>
    </cfRule>
  </conditionalFormatting>
  <printOptions horizontalCentered="1" verticalCentered="1"/>
  <pageMargins left="0" right="0" top="0" bottom="0" header="0" footer="0"/>
  <pageSetup draft="1" fitToHeight="1" fitToWidth="1" orientation="landscape" pageOrder="overThenDown" scale="76" r:id="rId3"/>
  <ignoredErrors>
    <ignoredError sqref="C83" evalError="1"/>
    <ignoredError sqref="H22:J22 B23 H4:J4 D4 F4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50"/>
    <pageSetUpPr fitToPage="1"/>
  </sheetPr>
  <dimension ref="A1:K29"/>
  <sheetViews>
    <sheetView showGridLines="0" showRowColHeaders="0" showZeros="0" showOutlineSymbols="0" workbookViewId="0" topLeftCell="A1">
      <selection activeCell="B22" sqref="B22:G22"/>
    </sheetView>
  </sheetViews>
  <sheetFormatPr defaultColWidth="9.140625" defaultRowHeight="27" customHeight="1"/>
  <cols>
    <col min="1" max="1" width="30.57421875" style="187" bestFit="1" customWidth="1"/>
    <col min="2" max="10" width="16.28125" style="187" customWidth="1"/>
    <col min="11" max="16384" width="9.140625" style="187" customWidth="1"/>
  </cols>
  <sheetData>
    <row r="1" spans="1:10" s="43" customFormat="1" ht="27" customHeight="1">
      <c r="A1" s="301" t="s">
        <v>68</v>
      </c>
      <c r="B1" s="295" t="s">
        <v>3</v>
      </c>
      <c r="C1" s="295" t="s">
        <v>11</v>
      </c>
      <c r="D1" s="295" t="s">
        <v>28</v>
      </c>
      <c r="E1" s="295" t="s">
        <v>30</v>
      </c>
      <c r="F1" s="295" t="s">
        <v>8</v>
      </c>
      <c r="G1" s="295" t="s">
        <v>5</v>
      </c>
      <c r="H1" s="295" t="s">
        <v>7</v>
      </c>
      <c r="I1" s="295" t="s">
        <v>9</v>
      </c>
      <c r="J1" s="302" t="s">
        <v>10</v>
      </c>
    </row>
    <row r="2" spans="1:10" ht="27" customHeight="1">
      <c r="A2" s="311">
        <f>Results!A5</f>
        <v>41356</v>
      </c>
      <c r="B2" s="297">
        <f>Results!B5</f>
        <v>0</v>
      </c>
      <c r="C2" s="297">
        <f>Results!C5</f>
        <v>0</v>
      </c>
      <c r="D2" s="297">
        <f>Results!D5</f>
        <v>0</v>
      </c>
      <c r="E2" s="297">
        <f>Results!E5</f>
        <v>0</v>
      </c>
      <c r="F2" s="297">
        <f>Results!F5</f>
        <v>0</v>
      </c>
      <c r="G2" s="297">
        <f>Results!G5</f>
        <v>0</v>
      </c>
      <c r="H2" s="297">
        <f>Results!H5</f>
        <v>0</v>
      </c>
      <c r="I2" s="297">
        <f>Results!I5</f>
        <v>0</v>
      </c>
      <c r="J2" s="297">
        <f>Results!J5</f>
        <v>0</v>
      </c>
    </row>
    <row r="3" spans="1:10" ht="27" customHeight="1">
      <c r="A3" s="281">
        <f>Results!A6</f>
        <v>41363</v>
      </c>
      <c r="B3" s="192">
        <f aca="true" t="shared" si="0" ref="B3:B17">B2+B$20</f>
        <v>0</v>
      </c>
      <c r="C3" s="192">
        <f aca="true" t="shared" si="1" ref="C3:C17">C2+C$20</f>
        <v>0</v>
      </c>
      <c r="D3" s="192">
        <f aca="true" t="shared" si="2" ref="D3:D17">D2+D$20</f>
        <v>0</v>
      </c>
      <c r="E3" s="192">
        <f aca="true" t="shared" si="3" ref="E3:E17">E2+E$20</f>
        <v>0</v>
      </c>
      <c r="F3" s="192">
        <f aca="true" t="shared" si="4" ref="F3:F17">F2+F$20</f>
        <v>0</v>
      </c>
      <c r="G3" s="192">
        <f aca="true" t="shared" si="5" ref="G3:G17">G2+G$20</f>
        <v>0</v>
      </c>
      <c r="H3" s="192">
        <f aca="true" t="shared" si="6" ref="H3:H17">H2+H$20</f>
        <v>0</v>
      </c>
      <c r="I3" s="192">
        <f aca="true" t="shared" si="7" ref="I3:I17">I2+I$20</f>
        <v>0</v>
      </c>
      <c r="J3" s="192">
        <f aca="true" t="shared" si="8" ref="J3:J17">J2+J$20</f>
        <v>0</v>
      </c>
    </row>
    <row r="4" spans="1:10" ht="27" customHeight="1">
      <c r="A4" s="303">
        <f>Results!A7</f>
        <v>41370</v>
      </c>
      <c r="B4" s="296">
        <f t="shared" si="0"/>
        <v>0</v>
      </c>
      <c r="C4" s="298">
        <f t="shared" si="1"/>
        <v>0</v>
      </c>
      <c r="D4" s="298">
        <f t="shared" si="2"/>
        <v>0</v>
      </c>
      <c r="E4" s="298">
        <f t="shared" si="3"/>
        <v>0</v>
      </c>
      <c r="F4" s="298">
        <f t="shared" si="4"/>
        <v>0</v>
      </c>
      <c r="G4" s="192">
        <f t="shared" si="5"/>
        <v>0</v>
      </c>
      <c r="H4" s="192">
        <f t="shared" si="6"/>
        <v>0</v>
      </c>
      <c r="I4" s="192">
        <f t="shared" si="7"/>
        <v>0</v>
      </c>
      <c r="J4" s="192">
        <f t="shared" si="8"/>
        <v>0</v>
      </c>
    </row>
    <row r="5" spans="1:10" ht="27" customHeight="1">
      <c r="A5" s="303">
        <f>Results!A8</f>
        <v>41377</v>
      </c>
      <c r="B5" s="296">
        <f t="shared" si="0"/>
        <v>0</v>
      </c>
      <c r="C5" s="298">
        <f t="shared" si="1"/>
        <v>0</v>
      </c>
      <c r="D5" s="298">
        <f t="shared" si="2"/>
        <v>0</v>
      </c>
      <c r="E5" s="298">
        <f t="shared" si="3"/>
        <v>0</v>
      </c>
      <c r="F5" s="298">
        <f t="shared" si="4"/>
        <v>0</v>
      </c>
      <c r="G5" s="192">
        <f t="shared" si="5"/>
        <v>0</v>
      </c>
      <c r="H5" s="192">
        <f t="shared" si="6"/>
        <v>0</v>
      </c>
      <c r="I5" s="192">
        <f t="shared" si="7"/>
        <v>0</v>
      </c>
      <c r="J5" s="192">
        <f t="shared" si="8"/>
        <v>0</v>
      </c>
    </row>
    <row r="6" spans="1:10" ht="27" customHeight="1">
      <c r="A6" s="303">
        <f>Results!A9</f>
        <v>41384</v>
      </c>
      <c r="B6" s="296">
        <f t="shared" si="0"/>
        <v>0</v>
      </c>
      <c r="C6" s="298">
        <f t="shared" si="1"/>
        <v>0</v>
      </c>
      <c r="D6" s="298">
        <f t="shared" si="2"/>
        <v>0</v>
      </c>
      <c r="E6" s="298">
        <f t="shared" si="3"/>
        <v>0</v>
      </c>
      <c r="F6" s="298">
        <f t="shared" si="4"/>
        <v>0</v>
      </c>
      <c r="G6" s="192">
        <f t="shared" si="5"/>
        <v>0</v>
      </c>
      <c r="H6" s="192">
        <f t="shared" si="6"/>
        <v>0</v>
      </c>
      <c r="I6" s="192">
        <f t="shared" si="7"/>
        <v>0</v>
      </c>
      <c r="J6" s="192">
        <f t="shared" si="8"/>
        <v>0</v>
      </c>
    </row>
    <row r="7" spans="1:10" ht="27" customHeight="1">
      <c r="A7" s="303">
        <f>Results!A10</f>
        <v>41391</v>
      </c>
      <c r="B7" s="296">
        <f t="shared" si="0"/>
        <v>0</v>
      </c>
      <c r="C7" s="298">
        <f t="shared" si="1"/>
        <v>0</v>
      </c>
      <c r="D7" s="298">
        <f t="shared" si="2"/>
        <v>0</v>
      </c>
      <c r="E7" s="298">
        <f t="shared" si="3"/>
        <v>0</v>
      </c>
      <c r="F7" s="298">
        <f t="shared" si="4"/>
        <v>0</v>
      </c>
      <c r="G7" s="192">
        <f t="shared" si="5"/>
        <v>0</v>
      </c>
      <c r="H7" s="192">
        <f t="shared" si="6"/>
        <v>0</v>
      </c>
      <c r="I7" s="192">
        <f t="shared" si="7"/>
        <v>0</v>
      </c>
      <c r="J7" s="192">
        <f t="shared" si="8"/>
        <v>0</v>
      </c>
    </row>
    <row r="8" spans="1:10" ht="27" customHeight="1">
      <c r="A8" s="303">
        <f>Results!A11</f>
        <v>41398</v>
      </c>
      <c r="B8" s="296">
        <f t="shared" si="0"/>
        <v>0</v>
      </c>
      <c r="C8" s="298">
        <f t="shared" si="1"/>
        <v>0</v>
      </c>
      <c r="D8" s="298">
        <f t="shared" si="2"/>
        <v>0</v>
      </c>
      <c r="E8" s="298">
        <f t="shared" si="3"/>
        <v>0</v>
      </c>
      <c r="F8" s="298">
        <f t="shared" si="4"/>
        <v>0</v>
      </c>
      <c r="G8" s="192">
        <f t="shared" si="5"/>
        <v>0</v>
      </c>
      <c r="H8" s="192">
        <f t="shared" si="6"/>
        <v>0</v>
      </c>
      <c r="I8" s="192">
        <f t="shared" si="7"/>
        <v>0</v>
      </c>
      <c r="J8" s="192">
        <f t="shared" si="8"/>
        <v>0</v>
      </c>
    </row>
    <row r="9" spans="1:10" ht="27" customHeight="1">
      <c r="A9" s="303">
        <f>Results!A12</f>
        <v>41405</v>
      </c>
      <c r="B9" s="296">
        <f t="shared" si="0"/>
        <v>0</v>
      </c>
      <c r="C9" s="298">
        <f t="shared" si="1"/>
        <v>0</v>
      </c>
      <c r="D9" s="298">
        <f t="shared" si="2"/>
        <v>0</v>
      </c>
      <c r="E9" s="298">
        <f t="shared" si="3"/>
        <v>0</v>
      </c>
      <c r="F9" s="298">
        <f t="shared" si="4"/>
        <v>0</v>
      </c>
      <c r="G9" s="192">
        <f t="shared" si="5"/>
        <v>0</v>
      </c>
      <c r="H9" s="192">
        <f t="shared" si="6"/>
        <v>0</v>
      </c>
      <c r="I9" s="192">
        <f t="shared" si="7"/>
        <v>0</v>
      </c>
      <c r="J9" s="192">
        <f t="shared" si="8"/>
        <v>0</v>
      </c>
    </row>
    <row r="10" spans="1:10" ht="27" customHeight="1">
      <c r="A10" s="303">
        <f>Results!A13</f>
        <v>41412</v>
      </c>
      <c r="B10" s="296">
        <f t="shared" si="0"/>
        <v>0</v>
      </c>
      <c r="C10" s="298">
        <f t="shared" si="1"/>
        <v>0</v>
      </c>
      <c r="D10" s="298">
        <f t="shared" si="2"/>
        <v>0</v>
      </c>
      <c r="E10" s="298">
        <f t="shared" si="3"/>
        <v>0</v>
      </c>
      <c r="F10" s="298">
        <f t="shared" si="4"/>
        <v>0</v>
      </c>
      <c r="G10" s="192">
        <f t="shared" si="5"/>
        <v>0</v>
      </c>
      <c r="H10" s="192">
        <f t="shared" si="6"/>
        <v>0</v>
      </c>
      <c r="I10" s="192">
        <f t="shared" si="7"/>
        <v>0</v>
      </c>
      <c r="J10" s="192">
        <f t="shared" si="8"/>
        <v>0</v>
      </c>
    </row>
    <row r="11" spans="1:10" ht="27" customHeight="1">
      <c r="A11" s="303">
        <f>Results!A14</f>
        <v>41419</v>
      </c>
      <c r="B11" s="296">
        <f t="shared" si="0"/>
        <v>0</v>
      </c>
      <c r="C11" s="298">
        <f t="shared" si="1"/>
        <v>0</v>
      </c>
      <c r="D11" s="298">
        <f t="shared" si="2"/>
        <v>0</v>
      </c>
      <c r="E11" s="298">
        <f t="shared" si="3"/>
        <v>0</v>
      </c>
      <c r="F11" s="298">
        <f t="shared" si="4"/>
        <v>0</v>
      </c>
      <c r="G11" s="192">
        <f t="shared" si="5"/>
        <v>0</v>
      </c>
      <c r="H11" s="192">
        <f t="shared" si="6"/>
        <v>0</v>
      </c>
      <c r="I11" s="192">
        <f t="shared" si="7"/>
        <v>0</v>
      </c>
      <c r="J11" s="192">
        <f t="shared" si="8"/>
        <v>0</v>
      </c>
    </row>
    <row r="12" spans="1:10" ht="27" customHeight="1">
      <c r="A12" s="303">
        <f>Results!A15</f>
        <v>41426</v>
      </c>
      <c r="B12" s="296">
        <f t="shared" si="0"/>
        <v>0</v>
      </c>
      <c r="C12" s="298">
        <f t="shared" si="1"/>
        <v>0</v>
      </c>
      <c r="D12" s="298">
        <f t="shared" si="2"/>
        <v>0</v>
      </c>
      <c r="E12" s="298">
        <f t="shared" si="3"/>
        <v>0</v>
      </c>
      <c r="F12" s="298">
        <f t="shared" si="4"/>
        <v>0</v>
      </c>
      <c r="G12" s="192">
        <f t="shared" si="5"/>
        <v>0</v>
      </c>
      <c r="H12" s="192">
        <f t="shared" si="6"/>
        <v>0</v>
      </c>
      <c r="I12" s="192">
        <f t="shared" si="7"/>
        <v>0</v>
      </c>
      <c r="J12" s="192">
        <f t="shared" si="8"/>
        <v>0</v>
      </c>
    </row>
    <row r="13" spans="1:10" ht="27" customHeight="1">
      <c r="A13" s="303">
        <f>Results!A16</f>
        <v>41433</v>
      </c>
      <c r="B13" s="296">
        <f t="shared" si="0"/>
        <v>0</v>
      </c>
      <c r="C13" s="298">
        <f t="shared" si="1"/>
        <v>0</v>
      </c>
      <c r="D13" s="298">
        <f t="shared" si="2"/>
        <v>0</v>
      </c>
      <c r="E13" s="298">
        <f t="shared" si="3"/>
        <v>0</v>
      </c>
      <c r="F13" s="298">
        <f t="shared" si="4"/>
        <v>0</v>
      </c>
      <c r="G13" s="192">
        <f t="shared" si="5"/>
        <v>0</v>
      </c>
      <c r="H13" s="192">
        <f t="shared" si="6"/>
        <v>0</v>
      </c>
      <c r="I13" s="192">
        <f t="shared" si="7"/>
        <v>0</v>
      </c>
      <c r="J13" s="192">
        <f t="shared" si="8"/>
        <v>0</v>
      </c>
    </row>
    <row r="14" spans="1:10" ht="27" customHeight="1">
      <c r="A14" s="303">
        <f>Results!A17</f>
        <v>41440</v>
      </c>
      <c r="B14" s="296">
        <f t="shared" si="0"/>
        <v>0</v>
      </c>
      <c r="C14" s="298">
        <f t="shared" si="1"/>
        <v>0</v>
      </c>
      <c r="D14" s="298">
        <f t="shared" si="2"/>
        <v>0</v>
      </c>
      <c r="E14" s="298">
        <f t="shared" si="3"/>
        <v>0</v>
      </c>
      <c r="F14" s="298">
        <f t="shared" si="4"/>
        <v>0</v>
      </c>
      <c r="G14" s="192">
        <f t="shared" si="5"/>
        <v>0</v>
      </c>
      <c r="H14" s="192">
        <f t="shared" si="6"/>
        <v>0</v>
      </c>
      <c r="I14" s="192">
        <f t="shared" si="7"/>
        <v>0</v>
      </c>
      <c r="J14" s="192">
        <f t="shared" si="8"/>
        <v>0</v>
      </c>
    </row>
    <row r="15" spans="1:10" ht="27" customHeight="1">
      <c r="A15" s="303">
        <f>Results!A18</f>
        <v>41447</v>
      </c>
      <c r="B15" s="296">
        <f t="shared" si="0"/>
        <v>0</v>
      </c>
      <c r="C15" s="298">
        <f t="shared" si="1"/>
        <v>0</v>
      </c>
      <c r="D15" s="298">
        <f t="shared" si="2"/>
        <v>0</v>
      </c>
      <c r="E15" s="298">
        <f t="shared" si="3"/>
        <v>0</v>
      </c>
      <c r="F15" s="298">
        <f t="shared" si="4"/>
        <v>0</v>
      </c>
      <c r="G15" s="192">
        <f t="shared" si="5"/>
        <v>0</v>
      </c>
      <c r="H15" s="192">
        <f t="shared" si="6"/>
        <v>0</v>
      </c>
      <c r="I15" s="192">
        <f t="shared" si="7"/>
        <v>0</v>
      </c>
      <c r="J15" s="192">
        <f t="shared" si="8"/>
        <v>0</v>
      </c>
    </row>
    <row r="16" spans="1:10" ht="27" customHeight="1">
      <c r="A16" s="303">
        <f>Results!A19</f>
        <v>41454</v>
      </c>
      <c r="B16" s="296">
        <f t="shared" si="0"/>
        <v>0</v>
      </c>
      <c r="C16" s="298">
        <f t="shared" si="1"/>
        <v>0</v>
      </c>
      <c r="D16" s="298">
        <f t="shared" si="2"/>
        <v>0</v>
      </c>
      <c r="E16" s="298">
        <f t="shared" si="3"/>
        <v>0</v>
      </c>
      <c r="F16" s="298">
        <f t="shared" si="4"/>
        <v>0</v>
      </c>
      <c r="G16" s="192">
        <f t="shared" si="5"/>
        <v>0</v>
      </c>
      <c r="H16" s="192">
        <f t="shared" si="6"/>
        <v>0</v>
      </c>
      <c r="I16" s="192">
        <f t="shared" si="7"/>
        <v>0</v>
      </c>
      <c r="J16" s="192">
        <f t="shared" si="8"/>
        <v>0</v>
      </c>
    </row>
    <row r="17" spans="1:10" ht="27" customHeight="1">
      <c r="A17" s="304">
        <f>Results!A20</f>
        <v>41461</v>
      </c>
      <c r="B17" s="299">
        <f t="shared" si="0"/>
        <v>0</v>
      </c>
      <c r="C17" s="300">
        <f t="shared" si="1"/>
        <v>0</v>
      </c>
      <c r="D17" s="300">
        <f t="shared" si="2"/>
        <v>0</v>
      </c>
      <c r="E17" s="300">
        <f t="shared" si="3"/>
        <v>0</v>
      </c>
      <c r="F17" s="300">
        <f t="shared" si="4"/>
        <v>0</v>
      </c>
      <c r="G17" s="193">
        <f t="shared" si="5"/>
        <v>0</v>
      </c>
      <c r="H17" s="193">
        <f t="shared" si="6"/>
        <v>0</v>
      </c>
      <c r="I17" s="193">
        <f t="shared" si="7"/>
        <v>0</v>
      </c>
      <c r="J17" s="193">
        <f t="shared" si="8"/>
        <v>0</v>
      </c>
    </row>
    <row r="18" spans="1:10" s="200" customFormat="1" ht="27" customHeight="1">
      <c r="A18" s="200" t="str">
        <f>Results!A21</f>
        <v>Goals</v>
      </c>
      <c r="B18" s="201">
        <f>Results!B21</f>
        <v>0</v>
      </c>
      <c r="C18" s="202">
        <f>Results!C21</f>
        <v>0</v>
      </c>
      <c r="D18" s="203">
        <f>Results!D21</f>
        <v>0</v>
      </c>
      <c r="E18" s="202">
        <f>Results!E21</f>
        <v>0</v>
      </c>
      <c r="F18" s="203">
        <f>Results!F21</f>
        <v>0</v>
      </c>
      <c r="G18" s="202">
        <f>Results!G21</f>
        <v>0</v>
      </c>
      <c r="H18" s="203">
        <f>Results!H21</f>
        <v>0</v>
      </c>
      <c r="I18" s="202">
        <f>Results!I21</f>
        <v>0</v>
      </c>
      <c r="J18" s="204">
        <f>Results!J21</f>
        <v>0</v>
      </c>
    </row>
    <row r="19" spans="2:10" s="200" customFormat="1" ht="27" customHeight="1" thickBot="1">
      <c r="B19" s="203"/>
      <c r="C19" s="203"/>
      <c r="D19" s="203"/>
      <c r="E19" s="203"/>
      <c r="F19" s="203"/>
      <c r="G19" s="203"/>
      <c r="H19" s="203"/>
      <c r="I19" s="203"/>
      <c r="J19" s="203"/>
    </row>
    <row r="20" spans="1:11" ht="27" customHeight="1" thickBot="1">
      <c r="A20" s="286" t="s">
        <v>87</v>
      </c>
      <c r="B20" s="308">
        <f>SUM(Results!B21-B2)/SUM(AltDeadline-$A$2)*Results!$G$1</f>
        <v>0</v>
      </c>
      <c r="C20" s="308">
        <f>SUM(Results!C21-C2)/SUM(AltDeadline-$A$2)*Results!$G$1</f>
        <v>0</v>
      </c>
      <c r="D20" s="308">
        <f>SUM(Results!D21-D2)/SUM(AltDeadline-$A$2)*Results!$G$1</f>
        <v>0</v>
      </c>
      <c r="E20" s="308">
        <f>SUM(Results!E21-E2)/SUM(AltDeadline-$A$2)*Results!$G$1</f>
        <v>0</v>
      </c>
      <c r="F20" s="308">
        <f>SUM(Results!F21-F2)/SUM(AltDeadline-$A$2)*Results!$G$1</f>
        <v>0</v>
      </c>
      <c r="G20" s="308">
        <f>SUM(Results!G21-G2)/SUM(AltDeadline-$A$2)*Results!$G$1</f>
        <v>0</v>
      </c>
      <c r="H20" s="309">
        <f>SUM(Results!H21-H2)/SUM(AltDeadline-$A$2)*Results!$G$1</f>
        <v>0</v>
      </c>
      <c r="I20" s="309">
        <f>SUM(Results!I21-I2)/SUM(AltDeadline-$A$2)*Results!$G$1</f>
        <v>0</v>
      </c>
      <c r="J20" s="309">
        <f>SUM(Results!J21-J2)/SUM(AltDeadline-$A$2)*Results!$G$1</f>
        <v>0</v>
      </c>
      <c r="K20" s="267"/>
    </row>
    <row r="21" spans="1:11" ht="27" customHeight="1" thickBot="1">
      <c r="A21" s="287" t="s">
        <v>88</v>
      </c>
      <c r="B21" s="310">
        <f>'Estimated Results'!C17-'Estimated Results'!C16</f>
        <v>0</v>
      </c>
      <c r="C21" s="310">
        <f>'Estimated Results'!D17-'Estimated Results'!D16</f>
        <v>0</v>
      </c>
      <c r="D21" s="310">
        <f>'Estimated Results'!E17-'Estimated Results'!E16</f>
        <v>0</v>
      </c>
      <c r="E21" s="310">
        <f>'Estimated Results'!F17-'Estimated Results'!F16</f>
        <v>0</v>
      </c>
      <c r="F21" s="310">
        <f>'Estimated Results'!G17-'Estimated Results'!G16</f>
        <v>0</v>
      </c>
      <c r="G21" s="310">
        <f>'Estimated Results'!H17-'Estimated Results'!H16</f>
        <v>0</v>
      </c>
      <c r="H21" s="310">
        <f>'Estimated Results'!I17-'Estimated Results'!I16</f>
        <v>0</v>
      </c>
      <c r="I21" s="310">
        <f>'Estimated Results'!J17-'Estimated Results'!J16</f>
        <v>0</v>
      </c>
      <c r="J21" s="310">
        <f>'Estimated Results'!K17-'Estimated Results'!K16</f>
        <v>0</v>
      </c>
      <c r="K21" s="267"/>
    </row>
    <row r="22" spans="1:7" ht="24" thickBot="1">
      <c r="A22" s="288">
        <f>Results!G1</f>
        <v>7</v>
      </c>
      <c r="B22" s="396" t="str">
        <f>HYPERLINK("http://www.wayofthedave.com","- - &gt; For Instructions Go To Way Of The Dave  . Com &lt; - -")</f>
        <v>- - &gt; For Instructions Go To Way Of The Dave  . Com &lt; - -</v>
      </c>
      <c r="C22" s="397"/>
      <c r="D22" s="397"/>
      <c r="E22" s="397"/>
      <c r="F22" s="397"/>
      <c r="G22" s="421"/>
    </row>
    <row r="23" ht="17.25"/>
    <row r="24" ht="17.25"/>
    <row r="25" ht="17.25"/>
    <row r="26" ht="17.25"/>
    <row r="27" ht="17.25"/>
    <row r="28" ht="17.25"/>
    <row r="29" spans="8:9" ht="17.25">
      <c r="H29" s="211"/>
      <c r="I29" s="211"/>
    </row>
    <row r="30" ht="17.25"/>
    <row r="31" ht="17.25"/>
    <row r="32" ht="17.25"/>
  </sheetData>
  <sheetProtection password="8E1F" sheet="1" selectLockedCells="1"/>
  <mergeCells count="1">
    <mergeCell ref="B22:G22"/>
  </mergeCells>
  <conditionalFormatting sqref="K20:K21 H21:J21">
    <cfRule type="expression" priority="1" dxfId="4" stopIfTrue="1">
      <formula>Gender="Male"</formula>
    </cfRule>
    <cfRule type="expression" priority="2" dxfId="7" stopIfTrue="1">
      <formula>$A20&lt;=TODAY()</formula>
    </cfRule>
  </conditionalFormatting>
  <conditionalFormatting sqref="H2:J17">
    <cfRule type="expression" priority="3" dxfId="4" stopIfTrue="1">
      <formula>Gender="Male"</formula>
    </cfRule>
    <cfRule type="expression" priority="4" dxfId="8" stopIfTrue="1">
      <formula>$A2&lt;=TODAY()</formula>
    </cfRule>
    <cfRule type="expression" priority="5" dxfId="0" stopIfTrue="1">
      <formula>$A2&gt;AltDeadline</formula>
    </cfRule>
  </conditionalFormatting>
  <conditionalFormatting sqref="A2:A17">
    <cfRule type="expression" priority="6" dxfId="8" stopIfTrue="1">
      <formula>$A2&lt;=TODAY()</formula>
    </cfRule>
    <cfRule type="expression" priority="7" dxfId="9" stopIfTrue="1">
      <formula>SUM($A2-TODAY())&lt;MeasurementDays</formula>
    </cfRule>
    <cfRule type="expression" priority="8" dxfId="0" stopIfTrue="1">
      <formula>$A2&gt;AltDeadline</formula>
    </cfRule>
  </conditionalFormatting>
  <conditionalFormatting sqref="B2:G17">
    <cfRule type="expression" priority="9" dxfId="8" stopIfTrue="1">
      <formula>$A2&lt;=TODAY()</formula>
    </cfRule>
    <cfRule type="expression" priority="10" dxfId="0" stopIfTrue="1">
      <formula>$A2&gt;AltDeadline</formula>
    </cfRule>
  </conditionalFormatting>
  <conditionalFormatting sqref="H18:J19">
    <cfRule type="expression" priority="11" dxfId="4" stopIfTrue="1">
      <formula>Gender="Male"</formula>
    </cfRule>
    <cfRule type="expression" priority="12" dxfId="8" stopIfTrue="1">
      <formula>$A18&lt;=TODAY()</formula>
    </cfRule>
  </conditionalFormatting>
  <conditionalFormatting sqref="H20:J20 H1:J1">
    <cfRule type="expression" priority="13" dxfId="4" stopIfTrue="1">
      <formula>Gender="Male"</formula>
    </cfRule>
  </conditionalFormatting>
  <printOptions horizontalCentered="1" verticalCentered="1"/>
  <pageMargins left="0" right="0" top="0" bottom="0" header="0" footer="0"/>
  <pageSetup draft="1" fitToHeight="1" fitToWidth="1" orientation="landscape" pageOrder="overThenDown" scale="73" r:id="rId1"/>
  <ignoredErrors>
    <ignoredError sqref="B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50"/>
    <pageSetUpPr fitToPage="1"/>
  </sheetPr>
  <dimension ref="A1:K110"/>
  <sheetViews>
    <sheetView showGridLines="0" showRowColHeaders="0" showZeros="0" showOutlineSymbols="0" workbookViewId="0" topLeftCell="B1">
      <selection activeCell="C25" sqref="C25"/>
    </sheetView>
  </sheetViews>
  <sheetFormatPr defaultColWidth="9.140625" defaultRowHeight="14.25" customHeight="1"/>
  <cols>
    <col min="1" max="1" width="0.13671875" style="198" hidden="1" customWidth="1"/>
    <col min="2" max="2" width="30.7109375" style="143" bestFit="1" customWidth="1"/>
    <col min="3" max="11" width="16.140625" style="143" customWidth="1"/>
    <col min="12" max="16384" width="9.140625" style="143" customWidth="1"/>
  </cols>
  <sheetData>
    <row r="1" spans="2:11" s="43" customFormat="1" ht="25.5" customHeight="1">
      <c r="B1" s="294" t="s">
        <v>86</v>
      </c>
      <c r="C1" s="295" t="str">
        <f>Results!B3</f>
        <v>Weight</v>
      </c>
      <c r="D1" s="295" t="str">
        <f>Results!C3</f>
        <v>Body Fat</v>
      </c>
      <c r="E1" s="295" t="str">
        <f>Results!D3</f>
        <v>LBM</v>
      </c>
      <c r="F1" s="295" t="str">
        <f>Results!E3</f>
        <v>Body Fat %</v>
      </c>
      <c r="G1" s="295" t="str">
        <f>Results!F3</f>
        <v>Abdomen</v>
      </c>
      <c r="H1" s="295" t="str">
        <f>Results!G3</f>
        <v>Waist</v>
      </c>
      <c r="I1" s="295" t="str">
        <f>Results!H3</f>
        <v>Wrist</v>
      </c>
      <c r="J1" s="295" t="str">
        <f>Results!I3</f>
        <v>Hip</v>
      </c>
      <c r="K1" s="295" t="str">
        <f>Results!J3</f>
        <v>Forearm</v>
      </c>
    </row>
    <row r="2" spans="1:11" ht="25.5" customHeight="1">
      <c r="A2" s="198">
        <v>1</v>
      </c>
      <c r="B2" s="281">
        <f>'Required Results'!A2</f>
        <v>41356</v>
      </c>
      <c r="C2" s="192">
        <f>Results!B5</f>
        <v>0</v>
      </c>
      <c r="D2" s="192">
        <f>C2*F2%</f>
        <v>0</v>
      </c>
      <c r="E2" s="192">
        <f>C2-D2</f>
        <v>0</v>
      </c>
      <c r="F2" s="192">
        <f>Results!E5</f>
        <v>0</v>
      </c>
      <c r="G2" s="192">
        <f>Results!F5</f>
        <v>0</v>
      </c>
      <c r="H2" s="192">
        <f>Results!G5</f>
        <v>0</v>
      </c>
      <c r="I2" s="192">
        <f>Results!H5</f>
        <v>0</v>
      </c>
      <c r="J2" s="192">
        <f>Results!I5</f>
        <v>0</v>
      </c>
      <c r="K2" s="192">
        <f>Results!J5</f>
        <v>0</v>
      </c>
    </row>
    <row r="3" spans="1:11" ht="25.5" customHeight="1">
      <c r="A3" s="198">
        <v>2</v>
      </c>
      <c r="B3" s="281">
        <f>'Required Results'!A3</f>
        <v>41363</v>
      </c>
      <c r="C3" s="192">
        <f>IF(Results!B6=0,SUM(LINEST(C2,$A2)*{2,1}),Results!B6)</f>
        <v>0</v>
      </c>
      <c r="D3" s="192">
        <f>IF(Results!C6=0,SUM(LINEST(D2,$A2)*{2,1}),Results!C6)</f>
        <v>0</v>
      </c>
      <c r="E3" s="192">
        <f>IF(Results!D6=0,SUM(LINEST(E2,$A2)*{2,1}),Results!D6)</f>
        <v>0</v>
      </c>
      <c r="F3" s="192">
        <f>IF(Results!E6=0,SUM(LINEST(F2,$A2)*{2,1}),Results!E6)</f>
        <v>0</v>
      </c>
      <c r="G3" s="192">
        <f>IF(Results!F6=0,SUM(LINEST(G2,$A2)*{2,1}),Results!F6)</f>
        <v>0</v>
      </c>
      <c r="H3" s="192">
        <f>IF(Results!G6=0,SUM(LINEST(H2,$A2)*{2,1}),Results!G6)</f>
        <v>0</v>
      </c>
      <c r="I3" s="192">
        <f>IF(Results!H6=0,SUM(LINEST(I2,$A2)*{2,1}),Results!H6)</f>
        <v>0</v>
      </c>
      <c r="J3" s="192">
        <f>IF(Results!I6=0,SUM(LINEST(J2,$A2)*{2,1}),Results!I6)</f>
        <v>0</v>
      </c>
      <c r="K3" s="192">
        <f>IF(Results!J6=0,SUM(LINEST(K2,$A2)*{2,1}),Results!J6)</f>
        <v>0</v>
      </c>
    </row>
    <row r="4" spans="1:11" ht="25.5" customHeight="1">
      <c r="A4" s="198">
        <v>3</v>
      </c>
      <c r="B4" s="281">
        <f>'Required Results'!A4</f>
        <v>41370</v>
      </c>
      <c r="C4" s="192">
        <f>IF(Results!B7=0,SUM(LINEST(C2:C3,$A2:$A3)*{3,1}),Results!B7)</f>
        <v>0</v>
      </c>
      <c r="D4" s="192">
        <f>IF(Results!C7=0,SUM(LINEST(D2:D3,$A2:$A3)*{3,1}),Results!C7)</f>
        <v>0</v>
      </c>
      <c r="E4" s="192">
        <f>IF(Results!D7=0,SUM(LINEST(E2:E3,$A2:$A3)*{3,1}),Results!D7)</f>
        <v>0</v>
      </c>
      <c r="F4" s="192">
        <f>IF(Results!E7=0,SUM(LINEST(F2:F3,$A2:$A3)*{3,1}),Results!E7)</f>
        <v>0</v>
      </c>
      <c r="G4" s="192">
        <f>IF(Results!F7=0,SUM(LINEST(G2:G3,$A2:$A3)*{3,1}),Results!F7)</f>
        <v>0</v>
      </c>
      <c r="H4" s="192">
        <f>IF(Results!G7=0,SUM(LINEST(H2:H3,$A2:$A3)*{3,1}),Results!G7)</f>
        <v>0</v>
      </c>
      <c r="I4" s="192">
        <f>IF(Results!H7=0,SUM(LINEST(I2:I3,$A2:$A3)*{3,1}),Results!H7)</f>
        <v>0</v>
      </c>
      <c r="J4" s="192">
        <f>IF(Results!I7=0,SUM(LINEST(J2:J3,$A2:$A3)*{3,1}),Results!I7)</f>
        <v>0</v>
      </c>
      <c r="K4" s="192">
        <f>IF(Results!J7=0,SUM(LINEST(K2:K3,$A2:$A3)*{3,1}),Results!J7)</f>
        <v>0</v>
      </c>
    </row>
    <row r="5" spans="1:11" ht="25.5" customHeight="1">
      <c r="A5" s="198">
        <v>4</v>
      </c>
      <c r="B5" s="281">
        <f>'Required Results'!A5</f>
        <v>41377</v>
      </c>
      <c r="C5" s="192">
        <f>IF(Results!B8=0,SUM(LINEST(C2:C4,$A2:$A4)*{4,1}),Results!B8)</f>
        <v>0</v>
      </c>
      <c r="D5" s="192">
        <f>IF(Results!C8=0,SUM(LINEST(D2:D4,$A2:$A4)*{4,1}),Results!C8)</f>
        <v>0</v>
      </c>
      <c r="E5" s="192">
        <f>IF(Results!D8=0,SUM(LINEST(E2:E4,$A2:$A4)*{4,1}),Results!D8)</f>
        <v>0</v>
      </c>
      <c r="F5" s="192">
        <f>IF(Results!E8=0,SUM(LINEST(F2:F4,$A2:$A4)*{4,1}),Results!E8)</f>
        <v>0</v>
      </c>
      <c r="G5" s="192">
        <f>IF(Results!F8=0,SUM(LINEST(G2:G4,$A2:$A4)*{4,1}),Results!F8)</f>
        <v>0</v>
      </c>
      <c r="H5" s="192">
        <f>IF(Results!G8=0,SUM(LINEST(H2:H4,$A2:$A4)*{4,1}),Results!G8)</f>
        <v>0</v>
      </c>
      <c r="I5" s="192">
        <f>IF(Results!H8=0,SUM(LINEST(I2:I4,$A2:$A4)*{4,1}),Results!H8)</f>
        <v>0</v>
      </c>
      <c r="J5" s="192">
        <f>IF(Results!I8=0,SUM(LINEST(J2:J4,$A2:$A4)*{4,1}),Results!I8)</f>
        <v>0</v>
      </c>
      <c r="K5" s="192">
        <f>IF(Results!J8=0,SUM(LINEST(K2:K4,$A2:$A4)*{4,1}),Results!J8)</f>
        <v>0</v>
      </c>
    </row>
    <row r="6" spans="1:11" ht="25.5" customHeight="1">
      <c r="A6" s="198">
        <v>5</v>
      </c>
      <c r="B6" s="281">
        <f>'Required Results'!A6</f>
        <v>41384</v>
      </c>
      <c r="C6" s="192">
        <f>IF(Results!B9=0,SUM(LINEST(C2:C5,$A2:$A5)*{5,1}),Results!B9)</f>
        <v>0</v>
      </c>
      <c r="D6" s="192">
        <f>IF(Results!C9=0,SUM(LINEST(D2:D5,$A2:$A5)*{5,1}),Results!C9)</f>
        <v>0</v>
      </c>
      <c r="E6" s="192">
        <f>IF(Results!D9=0,SUM(LINEST(E2:E5,$A2:$A5)*{5,1}),Results!D9)</f>
        <v>0</v>
      </c>
      <c r="F6" s="192">
        <f>IF(Results!E9=0,SUM(LINEST(F2:F5,$A2:$A5)*{5,1}),Results!E9)</f>
        <v>0</v>
      </c>
      <c r="G6" s="192">
        <f>IF(Results!F9=0,SUM(LINEST(G2:G5,$A2:$A5)*{5,1}),Results!F9)</f>
        <v>0</v>
      </c>
      <c r="H6" s="192">
        <f>IF(Results!G9=0,SUM(LINEST(H2:H5,$A2:$A5)*{5,1}),Results!G9)</f>
        <v>0</v>
      </c>
      <c r="I6" s="192">
        <f>IF(Results!H9=0,SUM(LINEST(I2:I5,$A2:$A5)*{5,1}),Results!H9)</f>
        <v>0</v>
      </c>
      <c r="J6" s="192">
        <f>IF(Results!I9=0,SUM(LINEST(J2:J5,$A2:$A5)*{5,1}),Results!I9)</f>
        <v>0</v>
      </c>
      <c r="K6" s="192">
        <f>IF(Results!J9=0,SUM(LINEST(K2:K5,$A2:$A5)*{5,1}),Results!J9)</f>
        <v>0</v>
      </c>
    </row>
    <row r="7" spans="1:11" ht="25.5" customHeight="1">
      <c r="A7" s="198">
        <v>6</v>
      </c>
      <c r="B7" s="281">
        <f>'Required Results'!A7</f>
        <v>41391</v>
      </c>
      <c r="C7" s="192">
        <f>IF(Results!B10=0,SUM(LINEST(C2:C6,$A2:$A6)*{6,1}),Results!B10)</f>
        <v>0</v>
      </c>
      <c r="D7" s="192">
        <f>IF(Results!C10=0,SUM(LINEST(D2:D6,$A2:$A6)*{6,1}),Results!C10)</f>
        <v>0</v>
      </c>
      <c r="E7" s="192">
        <f>IF(Results!D10=0,SUM(LINEST(E2:E6,$A2:$A6)*{6,1}),Results!D10)</f>
        <v>0</v>
      </c>
      <c r="F7" s="192">
        <f>IF(Results!E10=0,SUM(LINEST(F2:F6,$A2:$A6)*{6,1}),Results!E10)</f>
        <v>0</v>
      </c>
      <c r="G7" s="192">
        <f>IF(Results!F10=0,SUM(LINEST(G2:G6,$A2:$A6)*{6,1}),Results!F10)</f>
        <v>0</v>
      </c>
      <c r="H7" s="192">
        <f>IF(Results!G10=0,SUM(LINEST(H2:H6,$A2:$A6)*{6,1}),Results!G10)</f>
        <v>0</v>
      </c>
      <c r="I7" s="192">
        <f>IF(Results!H10=0,SUM(LINEST(I2:I6,$A2:$A6)*{6,1}),Results!H10)</f>
        <v>0</v>
      </c>
      <c r="J7" s="192">
        <f>IF(Results!I10=0,SUM(LINEST(J2:J6,$A2:$A6)*{6,1}),Results!I10)</f>
        <v>0</v>
      </c>
      <c r="K7" s="192">
        <f>IF(Results!J10=0,SUM(LINEST(K2:K6,$A2:$A6)*{6,1}),Results!J10)</f>
        <v>0</v>
      </c>
    </row>
    <row r="8" spans="1:11" ht="25.5" customHeight="1">
      <c r="A8" s="198">
        <v>7</v>
      </c>
      <c r="B8" s="281">
        <f>'Required Results'!A8</f>
        <v>41398</v>
      </c>
      <c r="C8" s="192">
        <f>IF(Results!B11=0,SUM(LINEST(C2:C7,$A2:$A7)*{7,1}),Results!B11)</f>
        <v>0</v>
      </c>
      <c r="D8" s="192">
        <f>IF(Results!C11=0,SUM(LINEST(D2:D7,$A2:$A7)*{7,1}),Results!C11)</f>
        <v>0</v>
      </c>
      <c r="E8" s="192">
        <f>IF(Results!D11=0,SUM(LINEST(E2:E7,$A2:$A7)*{7,1}),Results!D11)</f>
        <v>0</v>
      </c>
      <c r="F8" s="192">
        <f>IF(Results!E11=0,SUM(LINEST(F2:F7,$A2:$A7)*{7,1}),Results!E11)</f>
        <v>0</v>
      </c>
      <c r="G8" s="192">
        <f>IF(Results!F11=0,SUM(LINEST(G2:G7,$A2:$A7)*{7,1}),Results!F11)</f>
        <v>0</v>
      </c>
      <c r="H8" s="192">
        <f>IF(Results!G11=0,SUM(LINEST(H2:H7,$A2:$A7)*{7,1}),Results!G11)</f>
        <v>0</v>
      </c>
      <c r="I8" s="192">
        <f>IF(Results!H11=0,SUM(LINEST(I2:I7,$A2:$A7)*{7,1}),Results!H11)</f>
        <v>0</v>
      </c>
      <c r="J8" s="192">
        <f>IF(Results!I11=0,SUM(LINEST(J2:J7,$A2:$A7)*{7,1}),Results!I11)</f>
        <v>0</v>
      </c>
      <c r="K8" s="192">
        <f>IF(Results!J11=0,SUM(LINEST(K2:K7,$A2:$A7)*{7,1}),Results!J11)</f>
        <v>0</v>
      </c>
    </row>
    <row r="9" spans="1:11" ht="25.5" customHeight="1">
      <c r="A9" s="198">
        <v>8</v>
      </c>
      <c r="B9" s="281">
        <f>'Required Results'!A9</f>
        <v>41405</v>
      </c>
      <c r="C9" s="192">
        <f>IF(Results!B12=0,SUM(LINEST(C2:C8,$A2:$A8)*{8,1}),Results!B12)</f>
        <v>0</v>
      </c>
      <c r="D9" s="192">
        <f>IF(Results!C12=0,SUM(LINEST(D2:D8,$A2:$A8)*{8,1}),Results!C12)</f>
        <v>0</v>
      </c>
      <c r="E9" s="192">
        <f>IF(Results!D12=0,SUM(LINEST(E2:E8,$A2:$A8)*{8,1}),Results!D12)</f>
        <v>0</v>
      </c>
      <c r="F9" s="192">
        <f>IF(Results!E12=0,SUM(LINEST(F2:F8,$A2:$A8)*{8,1}),Results!E12)</f>
        <v>0</v>
      </c>
      <c r="G9" s="192">
        <f>IF(Results!F12=0,SUM(LINEST(G2:G8,$A2:$A8)*{8,1}),Results!F12)</f>
        <v>0</v>
      </c>
      <c r="H9" s="192">
        <f>IF(Results!G12=0,SUM(LINEST(H2:H8,$A2:$A8)*{8,1}),Results!G12)</f>
        <v>0</v>
      </c>
      <c r="I9" s="192">
        <f>IF(Results!H12=0,SUM(LINEST(I2:I8,$A2:$A8)*{8,1}),Results!H12)</f>
        <v>0</v>
      </c>
      <c r="J9" s="192">
        <f>IF(Results!I12=0,SUM(LINEST(J2:J8,$A2:$A8)*{8,1}),Results!I12)</f>
        <v>0</v>
      </c>
      <c r="K9" s="192">
        <f>IF(Results!J12=0,SUM(LINEST(K2:K8,$A2:$A8)*{8,1}),Results!J12)</f>
        <v>0</v>
      </c>
    </row>
    <row r="10" spans="1:11" ht="25.5" customHeight="1">
      <c r="A10" s="198">
        <v>9</v>
      </c>
      <c r="B10" s="281">
        <f>'Required Results'!A10</f>
        <v>41412</v>
      </c>
      <c r="C10" s="192">
        <f>IF(Results!B13=0,SUM(LINEST(C2:C9,$A2:$A9)*{9,1}),Results!B13)</f>
        <v>0</v>
      </c>
      <c r="D10" s="192">
        <f>IF(Results!C13=0,SUM(LINEST(D2:D9,$A2:$A9)*{9,1}),Results!C13)</f>
        <v>0</v>
      </c>
      <c r="E10" s="192">
        <f>IF(Results!D13=0,SUM(LINEST(E2:E9,$A2:$A9)*{9,1}),Results!D13)</f>
        <v>0</v>
      </c>
      <c r="F10" s="192">
        <f>IF(Results!E13=0,SUM(LINEST(F2:F9,$A2:$A9)*{9,1}),Results!E13)</f>
        <v>0</v>
      </c>
      <c r="G10" s="192">
        <f>IF(Results!F13=0,SUM(LINEST(G2:G9,$A2:$A9)*{9,1}),Results!F13)</f>
        <v>0</v>
      </c>
      <c r="H10" s="192">
        <f>IF(Results!G13=0,SUM(LINEST(H2:H9,$A2:$A9)*{9,1}),Results!G13)</f>
        <v>0</v>
      </c>
      <c r="I10" s="192">
        <f>IF(Results!H13=0,SUM(LINEST(I2:I9,$A2:$A9)*{9,1}),Results!H13)</f>
        <v>0</v>
      </c>
      <c r="J10" s="192">
        <f>IF(Results!I13=0,SUM(LINEST(J2:J9,$A2:$A9)*{9,1}),Results!I13)</f>
        <v>0</v>
      </c>
      <c r="K10" s="192">
        <f>IF(Results!J13=0,SUM(LINEST(K2:K9,$A2:$A9)*{9,1}),Results!J13)</f>
        <v>0</v>
      </c>
    </row>
    <row r="11" spans="1:11" ht="25.5" customHeight="1">
      <c r="A11" s="198">
        <v>10</v>
      </c>
      <c r="B11" s="281">
        <f>'Required Results'!A11</f>
        <v>41419</v>
      </c>
      <c r="C11" s="192">
        <f>IF(Results!B14=0,SUM(LINEST(C2:C10,$A2:$A10)*{10,1}),Results!B14)</f>
        <v>0</v>
      </c>
      <c r="D11" s="192">
        <f>IF(Results!C14=0,SUM(LINEST(D2:D10,$A2:$A10)*{10,1}),Results!C14)</f>
        <v>0</v>
      </c>
      <c r="E11" s="192">
        <f>IF(Results!D14=0,SUM(LINEST(E2:E10,$A2:$A10)*{10,1}),Results!D14)</f>
        <v>0</v>
      </c>
      <c r="F11" s="192">
        <f>IF(Results!E14=0,SUM(LINEST(F2:F10,$A2:$A10)*{10,1}),Results!E14)</f>
        <v>0</v>
      </c>
      <c r="G11" s="192">
        <f>IF(Results!F14=0,SUM(LINEST(G2:G10,$A2:$A10)*{10,1}),Results!F14)</f>
        <v>0</v>
      </c>
      <c r="H11" s="192">
        <f>IF(Results!G14=0,SUM(LINEST(H2:H10,$A2:$A10)*{10,1}),Results!G14)</f>
        <v>0</v>
      </c>
      <c r="I11" s="192">
        <f>IF(Results!H14=0,SUM(LINEST(I2:I10,$A2:$A10)*{10,1}),Results!H14)</f>
        <v>0</v>
      </c>
      <c r="J11" s="192">
        <f>IF(Results!I14=0,SUM(LINEST(J2:J10,$A2:$A10)*{10,1}),Results!I14)</f>
        <v>0</v>
      </c>
      <c r="K11" s="192">
        <f>IF(Results!J14=0,SUM(LINEST(K2:K10,$A2:$A10)*{10,1}),Results!J14)</f>
        <v>0</v>
      </c>
    </row>
    <row r="12" spans="1:11" ht="25.5" customHeight="1">
      <c r="A12" s="198">
        <v>11</v>
      </c>
      <c r="B12" s="281">
        <f>'Required Results'!A12</f>
        <v>41426</v>
      </c>
      <c r="C12" s="192">
        <f>IF(Results!B15=0,SUM(LINEST(C2:C11,$A2:$A11)*{11,1}),Results!B15)</f>
        <v>0</v>
      </c>
      <c r="D12" s="192">
        <f>IF(Results!C15=0,SUM(LINEST(D2:D11,$A2:$A11)*{11,1}),Results!C15)</f>
        <v>0</v>
      </c>
      <c r="E12" s="192">
        <f>IF(Results!D15=0,SUM(LINEST(E2:E11,$A2:$A11)*{11,1}),Results!D15)</f>
        <v>0</v>
      </c>
      <c r="F12" s="192">
        <f>IF(Results!E15=0,SUM(LINEST(F2:F11,$A2:$A11)*{11,1}),Results!E15)</f>
        <v>0</v>
      </c>
      <c r="G12" s="192">
        <f>IF(Results!F15=0,SUM(LINEST(G2:G11,$A2:$A11)*{11,1}),Results!F15)</f>
        <v>0</v>
      </c>
      <c r="H12" s="192">
        <f>IF(Results!G15=0,SUM(LINEST(H2:H11,$A2:$A11)*{11,1}),Results!G15)</f>
        <v>0</v>
      </c>
      <c r="I12" s="192">
        <f>IF(Results!H15=0,SUM(LINEST(I2:I11,$A2:$A11)*{11,1}),Results!H15)</f>
        <v>0</v>
      </c>
      <c r="J12" s="192">
        <f>IF(Results!I15=0,SUM(LINEST(J2:J11,$A2:$A11)*{11,1}),Results!I15)</f>
        <v>0</v>
      </c>
      <c r="K12" s="192">
        <f>IF(Results!J15=0,SUM(LINEST(K2:K11,$A2:$A11)*{11,1}),Results!J15)</f>
        <v>0</v>
      </c>
    </row>
    <row r="13" spans="1:11" ht="25.5" customHeight="1">
      <c r="A13" s="198">
        <v>12</v>
      </c>
      <c r="B13" s="281">
        <f>'Required Results'!A13</f>
        <v>41433</v>
      </c>
      <c r="C13" s="192">
        <f>IF(Results!B16=0,SUM(LINEST(C2:C12,$A2:$A12)*{12,1}),Results!B16)</f>
        <v>0</v>
      </c>
      <c r="D13" s="192">
        <f>IF(Results!C16=0,SUM(LINEST(D2:D12,$A2:$A12)*{12,1}),Results!C16)</f>
        <v>0</v>
      </c>
      <c r="E13" s="192">
        <f>IF(Results!D16=0,SUM(LINEST(E2:E12,$A2:$A12)*{12,1}),Results!D16)</f>
        <v>0</v>
      </c>
      <c r="F13" s="192">
        <f>IF(Results!E16=0,SUM(LINEST(F2:F12,$A2:$A12)*{12,1}),Results!E16)</f>
        <v>0</v>
      </c>
      <c r="G13" s="192">
        <f>IF(Results!F16=0,SUM(LINEST(G2:G12,$A2:$A12)*{12,1}),Results!F16)</f>
        <v>0</v>
      </c>
      <c r="H13" s="192">
        <f>IF(Results!G16=0,SUM(LINEST(H2:H12,$A2:$A12)*{12,1}),Results!G16)</f>
        <v>0</v>
      </c>
      <c r="I13" s="192">
        <f>IF(Results!H16=0,SUM(LINEST(I2:I12,$A2:$A12)*{12,1}),Results!H16)</f>
        <v>0</v>
      </c>
      <c r="J13" s="192">
        <f>IF(Results!I16=0,SUM(LINEST(J2:J12,$A2:$A12)*{12,1}),Results!I16)</f>
        <v>0</v>
      </c>
      <c r="K13" s="192">
        <f>IF(Results!J16=0,SUM(LINEST(K2:K12,$A2:$A12)*{12,1}),Results!J16)</f>
        <v>0</v>
      </c>
    </row>
    <row r="14" spans="1:11" ht="25.5" customHeight="1">
      <c r="A14" s="198">
        <v>13</v>
      </c>
      <c r="B14" s="281">
        <f>'Required Results'!A14</f>
        <v>41440</v>
      </c>
      <c r="C14" s="192">
        <f>IF(Results!B17=0,SUM(LINEST(C2:C13,$A2:$A13)*{13,1}),Results!B17)</f>
        <v>0</v>
      </c>
      <c r="D14" s="192">
        <f>IF(Results!C17=0,SUM(LINEST(D2:D13,$A2:$A13)*{13,1}),Results!C17)</f>
        <v>0</v>
      </c>
      <c r="E14" s="192">
        <f>IF(Results!D17=0,SUM(LINEST(E2:E13,$A2:$A13)*{13,1}),Results!D17)</f>
        <v>0</v>
      </c>
      <c r="F14" s="192">
        <f>IF(Results!E17=0,SUM(LINEST(F2:F13,$A2:$A13)*{13,1}),Results!E17)</f>
        <v>0</v>
      </c>
      <c r="G14" s="192">
        <f>IF(Results!F17=0,SUM(LINEST(G2:G13,$A2:$A13)*{13,1}),Results!F17)</f>
        <v>0</v>
      </c>
      <c r="H14" s="192">
        <f>IF(Results!G17=0,SUM(LINEST(H2:H13,$A2:$A13)*{13,1}),Results!G17)</f>
        <v>0</v>
      </c>
      <c r="I14" s="192">
        <f>IF(Results!H17=0,SUM(LINEST(I2:I13,$A2:$A13)*{13,1}),Results!H17)</f>
        <v>0</v>
      </c>
      <c r="J14" s="192">
        <f>IF(Results!I17=0,SUM(LINEST(J2:J13,$A2:$A13)*{13,1}),Results!I17)</f>
        <v>0</v>
      </c>
      <c r="K14" s="192">
        <f>IF(Results!J17=0,SUM(LINEST(K2:K13,$A2:$A13)*{13,1}),Results!J17)</f>
        <v>0</v>
      </c>
    </row>
    <row r="15" spans="1:11" ht="25.5" customHeight="1">
      <c r="A15" s="198">
        <v>14</v>
      </c>
      <c r="B15" s="281">
        <f>'Required Results'!A15</f>
        <v>41447</v>
      </c>
      <c r="C15" s="192">
        <f>IF(Results!B18=0,SUM(LINEST(C2:C14,$A2:$A14)*{14,1}),Results!B18)</f>
        <v>0</v>
      </c>
      <c r="D15" s="192">
        <f>IF(Results!C18=0,SUM(LINEST(D2:D14,$A2:$A14)*{14,1}),Results!C18)</f>
        <v>0</v>
      </c>
      <c r="E15" s="192">
        <f>IF(Results!D18=0,SUM(LINEST(E2:E14,$A2:$A14)*{14,1}),Results!D18)</f>
        <v>0</v>
      </c>
      <c r="F15" s="192">
        <f>IF(Results!E18=0,SUM(LINEST(F2:F14,$A2:$A14)*{14,1}),Results!E18)</f>
        <v>0</v>
      </c>
      <c r="G15" s="192">
        <f>IF(Results!F18=0,SUM(LINEST(G2:G14,$A2:$A14)*{14,1}),Results!F18)</f>
        <v>0</v>
      </c>
      <c r="H15" s="192">
        <f>IF(Results!G18=0,SUM(LINEST(H2:H14,$A2:$A14)*{14,1}),Results!G18)</f>
        <v>0</v>
      </c>
      <c r="I15" s="192">
        <f>IF(Results!H18=0,SUM(LINEST(I2:I14,$A2:$A14)*{14,1}),Results!H18)</f>
        <v>0</v>
      </c>
      <c r="J15" s="192">
        <f>IF(Results!I18=0,SUM(LINEST(J2:J14,$A2:$A14)*{14,1}),Results!I18)</f>
        <v>0</v>
      </c>
      <c r="K15" s="192">
        <f>IF(Results!J18=0,SUM(LINEST(K2:K14,$A2:$A14)*{14,1}),Results!J18)</f>
        <v>0</v>
      </c>
    </row>
    <row r="16" spans="1:11" ht="25.5" customHeight="1">
      <c r="A16" s="198">
        <v>15</v>
      </c>
      <c r="B16" s="281">
        <f>'Required Results'!A16</f>
        <v>41454</v>
      </c>
      <c r="C16" s="192">
        <f>IF(Results!B19=0,SUM(LINEST(C2:C15,$A2:$A15)*{15,1}),Results!B19)</f>
        <v>0</v>
      </c>
      <c r="D16" s="192">
        <f>IF(Results!C19=0,SUM(LINEST(D2:D15,$A2:$A15)*{15,1}),Results!C19)</f>
        <v>0</v>
      </c>
      <c r="E16" s="192">
        <f>IF(Results!D19=0,SUM(LINEST(E2:E15,$A2:$A15)*{15,1}),Results!D19)</f>
        <v>0</v>
      </c>
      <c r="F16" s="192">
        <f>IF(Results!E19=0,SUM(LINEST(F2:F15,$A2:$A15)*{15,1}),Results!E19)</f>
        <v>0</v>
      </c>
      <c r="G16" s="192">
        <f>IF(Results!F19=0,SUM(LINEST(G2:G15,$A2:$A15)*{15,1}),Results!F19)</f>
        <v>0</v>
      </c>
      <c r="H16" s="192">
        <f>IF(Results!G19=0,SUM(LINEST(H2:H15,$A2:$A15)*{15,1}),Results!G19)</f>
        <v>0</v>
      </c>
      <c r="I16" s="192">
        <f>IF(Results!H19=0,SUM(LINEST(I2:I15,$A2:$A15)*{15,1}),Results!H19)</f>
        <v>0</v>
      </c>
      <c r="J16" s="192">
        <f>IF(Results!I19=0,SUM(LINEST(J2:J15,$A2:$A15)*{15,1}),Results!I19)</f>
        <v>0</v>
      </c>
      <c r="K16" s="192">
        <f>IF(Results!J19=0,SUM(LINEST(K2:K15,$A2:$A15)*{15,1}),Results!J19)</f>
        <v>0</v>
      </c>
    </row>
    <row r="17" spans="1:11" ht="25.5" customHeight="1">
      <c r="A17" s="293">
        <v>16</v>
      </c>
      <c r="B17" s="282">
        <f>'Required Results'!A17</f>
        <v>41461</v>
      </c>
      <c r="C17" s="193">
        <f>IF(Results!B20=0,SUM(LINEST(C2:C16,$A2:$A16)*{16,1}),Results!B20)</f>
        <v>0</v>
      </c>
      <c r="D17" s="193">
        <f>IF(Results!C20=0,SUM(LINEST(D2:D16,$A2:$A16)*{16,1}),Results!C20)</f>
        <v>0</v>
      </c>
      <c r="E17" s="193">
        <f>IF(Results!D20=0,SUM(LINEST(E2:E16,$A2:$A16)*{16,1}),Results!D20)</f>
        <v>0</v>
      </c>
      <c r="F17" s="193">
        <f>IF(Results!E20=0,SUM(LINEST(F2:F16,$A2:$A16)*{16,1}),Results!E20)</f>
        <v>0</v>
      </c>
      <c r="G17" s="193">
        <f>IF(Results!F20=0,SUM(LINEST(G2:G16,$A2:$A16)*{16,1}),Results!F20)</f>
        <v>0</v>
      </c>
      <c r="H17" s="193">
        <f>IF(Results!G20=0,SUM(LINEST(H2:H16,$A2:$A16)*{16,1}),Results!G20)</f>
        <v>0</v>
      </c>
      <c r="I17" s="193">
        <f>IF(Results!H20=0,SUM(LINEST(I2:I16,$A2:$A16)*{16,1}),Results!H20)</f>
        <v>0</v>
      </c>
      <c r="J17" s="193">
        <f>IF(Results!I20=0,SUM(LINEST(J2:J16,$A2:$A16)*{16,1}),Results!I20)</f>
        <v>0</v>
      </c>
      <c r="K17" s="193">
        <f>IF(Results!J20=0,SUM(LINEST(K2:K16,$A2:$A16)*{16,1}),Results!J20)</f>
        <v>0</v>
      </c>
    </row>
    <row r="18" spans="1:11" s="200" customFormat="1" ht="25.5" customHeight="1">
      <c r="A18" s="199"/>
      <c r="B18" s="200" t="str">
        <f>Results!A21</f>
        <v>Goals</v>
      </c>
      <c r="C18" s="201">
        <f>Results!B21</f>
        <v>0</v>
      </c>
      <c r="D18" s="202">
        <f>Results!C21</f>
        <v>0</v>
      </c>
      <c r="E18" s="203">
        <f>Results!D21</f>
        <v>0</v>
      </c>
      <c r="F18" s="202">
        <f>Results!E21</f>
        <v>0</v>
      </c>
      <c r="G18" s="203">
        <f>Results!F21</f>
        <v>0</v>
      </c>
      <c r="H18" s="202">
        <f>Results!G21</f>
        <v>0</v>
      </c>
      <c r="I18" s="203">
        <f>Results!H21</f>
        <v>0</v>
      </c>
      <c r="J18" s="202">
        <f>Results!I21</f>
        <v>0</v>
      </c>
      <c r="K18" s="204">
        <f>Results!J21</f>
        <v>0</v>
      </c>
    </row>
    <row r="19" ht="18" thickBot="1"/>
    <row r="20" spans="2:11" ht="22.5" customHeight="1" thickBot="1">
      <c r="B20" s="286" t="s">
        <v>109</v>
      </c>
      <c r="C20" s="380" t="e">
        <f aca="true" t="shared" si="0" ref="C20:K20">IF(ROUND(SUM($B$17-$B$2)+SUM(C17-C18)/SUM(C16-C17)*$E$26,0)&lt;0,"Can't Estimate",ROUND(SUM($B$17-$B$2)+SUM(C17-C18)/SUM(C16-C17)*$E$26,0))</f>
        <v>#DIV/0!</v>
      </c>
      <c r="D20" s="381" t="e">
        <f t="shared" si="0"/>
        <v>#DIV/0!</v>
      </c>
      <c r="E20" s="380" t="e">
        <f t="shared" si="0"/>
        <v>#DIV/0!</v>
      </c>
      <c r="F20" s="381" t="e">
        <f t="shared" si="0"/>
        <v>#DIV/0!</v>
      </c>
      <c r="G20" s="380" t="e">
        <f t="shared" si="0"/>
        <v>#DIV/0!</v>
      </c>
      <c r="H20" s="380" t="e">
        <f t="shared" si="0"/>
        <v>#DIV/0!</v>
      </c>
      <c r="I20" s="305" t="e">
        <f t="shared" si="0"/>
        <v>#DIV/0!</v>
      </c>
      <c r="J20" s="305" t="e">
        <f t="shared" si="0"/>
        <v>#DIV/0!</v>
      </c>
      <c r="K20" s="305" t="e">
        <f t="shared" si="0"/>
        <v>#DIV/0!</v>
      </c>
    </row>
    <row r="21" spans="2:11" ht="22.5" customHeight="1" thickBot="1">
      <c r="B21" s="286" t="s">
        <v>81</v>
      </c>
      <c r="C21" s="380" t="e">
        <f aca="true" t="shared" si="1" ref="C21:K21">IF(C20="Can't Estimate","Can't Estimate",$B$2+C20)</f>
        <v>#DIV/0!</v>
      </c>
      <c r="D21" s="381" t="e">
        <f t="shared" si="1"/>
        <v>#DIV/0!</v>
      </c>
      <c r="E21" s="380" t="e">
        <f t="shared" si="1"/>
        <v>#DIV/0!</v>
      </c>
      <c r="F21" s="381" t="e">
        <f t="shared" si="1"/>
        <v>#DIV/0!</v>
      </c>
      <c r="G21" s="380" t="e">
        <f t="shared" si="1"/>
        <v>#DIV/0!</v>
      </c>
      <c r="H21" s="380" t="e">
        <f t="shared" si="1"/>
        <v>#DIV/0!</v>
      </c>
      <c r="I21" s="305" t="e">
        <f t="shared" si="1"/>
        <v>#DIV/0!</v>
      </c>
      <c r="J21" s="305" t="e">
        <f t="shared" si="1"/>
        <v>#DIV/0!</v>
      </c>
      <c r="K21" s="305" t="e">
        <f t="shared" si="1"/>
        <v>#DIV/0!</v>
      </c>
    </row>
    <row r="22" spans="2:11" ht="22.5" customHeight="1" thickBot="1">
      <c r="B22" s="286" t="s">
        <v>89</v>
      </c>
      <c r="C22" s="314" t="e">
        <f aca="true" t="shared" si="2" ref="C22:K22">IF(C20="Can't Estimate","Can't Estimate",SUM($B$2-AltDeadline)+C20)</f>
        <v>#DIV/0!</v>
      </c>
      <c r="D22" s="315" t="e">
        <f t="shared" si="2"/>
        <v>#DIV/0!</v>
      </c>
      <c r="E22" s="314" t="e">
        <f t="shared" si="2"/>
        <v>#DIV/0!</v>
      </c>
      <c r="F22" s="315" t="e">
        <f t="shared" si="2"/>
        <v>#DIV/0!</v>
      </c>
      <c r="G22" s="314" t="e">
        <f t="shared" si="2"/>
        <v>#DIV/0!</v>
      </c>
      <c r="H22" s="314" t="e">
        <f t="shared" si="2"/>
        <v>#DIV/0!</v>
      </c>
      <c r="I22" s="314" t="e">
        <f t="shared" si="2"/>
        <v>#DIV/0!</v>
      </c>
      <c r="J22" s="314" t="e">
        <f t="shared" si="2"/>
        <v>#DIV/0!</v>
      </c>
      <c r="K22" s="314" t="e">
        <f t="shared" si="2"/>
        <v>#DIV/0!</v>
      </c>
    </row>
    <row r="23" spans="2:11" ht="24" customHeight="1" thickBot="1">
      <c r="B23" s="306" t="str">
        <f ca="1">CONCATENATE(AltDeadline-TODAY()," ","Days until goal deadline")</f>
        <v>105 Days until goal deadline</v>
      </c>
      <c r="C23" s="307" t="e">
        <f aca="true" t="shared" si="3" ref="C23:K23">IF(C22&gt;=0.49,"Off Target","On Target")</f>
        <v>#DIV/0!</v>
      </c>
      <c r="D23" s="307" t="e">
        <f t="shared" si="3"/>
        <v>#DIV/0!</v>
      </c>
      <c r="E23" s="307" t="e">
        <f t="shared" si="3"/>
        <v>#DIV/0!</v>
      </c>
      <c r="F23" s="307" t="e">
        <f t="shared" si="3"/>
        <v>#DIV/0!</v>
      </c>
      <c r="G23" s="307" t="e">
        <f t="shared" si="3"/>
        <v>#DIV/0!</v>
      </c>
      <c r="H23" s="307" t="e">
        <f t="shared" si="3"/>
        <v>#DIV/0!</v>
      </c>
      <c r="I23" s="305" t="e">
        <f t="shared" si="3"/>
        <v>#DIV/0!</v>
      </c>
      <c r="J23" s="305" t="e">
        <f t="shared" si="3"/>
        <v>#DIV/0!</v>
      </c>
      <c r="K23" s="305" t="e">
        <f t="shared" si="3"/>
        <v>#DIV/0!</v>
      </c>
    </row>
    <row r="24" spans="1:4" s="206" customFormat="1" ht="17.25" customHeight="1" thickBot="1">
      <c r="A24" s="205"/>
      <c r="C24" s="188"/>
      <c r="D24" s="207"/>
    </row>
    <row r="25" spans="1:8" s="206" customFormat="1" ht="18" thickBot="1">
      <c r="A25" s="205"/>
      <c r="C25" s="331"/>
      <c r="D25" s="312" t="s">
        <v>77</v>
      </c>
      <c r="E25" s="208"/>
      <c r="F25" s="208"/>
      <c r="G25" s="208"/>
      <c r="H25" s="208"/>
    </row>
    <row r="26" spans="3:8" s="205" customFormat="1" ht="17.25" hidden="1">
      <c r="C26" s="268">
        <f>IF(C25=0,B17,C25)</f>
        <v>41461</v>
      </c>
      <c r="D26" s="269">
        <f ca="1">TODAY()</f>
        <v>41356</v>
      </c>
      <c r="E26" s="270">
        <f>Results!G1</f>
        <v>7</v>
      </c>
      <c r="F26" s="269"/>
      <c r="G26" s="269"/>
      <c r="H26" s="269"/>
    </row>
    <row r="27" s="284" customFormat="1" ht="17.25">
      <c r="A27" s="283"/>
    </row>
    <row r="28" s="206" customFormat="1" ht="17.25">
      <c r="A28" s="205"/>
    </row>
    <row r="29" s="206" customFormat="1" ht="14.25" customHeight="1">
      <c r="A29" s="205"/>
    </row>
    <row r="30" spans="1:4" s="206" customFormat="1" ht="14.25" customHeight="1">
      <c r="A30" s="205"/>
      <c r="C30" s="280"/>
      <c r="D30" s="209"/>
    </row>
    <row r="31" spans="1:5" s="206" customFormat="1" ht="14.25" customHeight="1">
      <c r="A31" s="205"/>
      <c r="C31" s="188"/>
      <c r="E31" s="210"/>
    </row>
    <row r="32" spans="1:5" s="206" customFormat="1" ht="14.25" customHeight="1">
      <c r="A32" s="205"/>
      <c r="B32" s="188"/>
      <c r="C32" s="211"/>
      <c r="E32" s="210"/>
    </row>
    <row r="33" spans="1:5" s="206" customFormat="1" ht="14.25" customHeight="1">
      <c r="A33" s="205"/>
      <c r="B33" s="188"/>
      <c r="C33" s="211"/>
      <c r="E33" s="210"/>
    </row>
    <row r="34" spans="1:5" s="206" customFormat="1" ht="14.25" customHeight="1">
      <c r="A34" s="205"/>
      <c r="B34" s="188"/>
      <c r="C34" s="211"/>
      <c r="E34" s="210"/>
    </row>
    <row r="35" spans="1:5" s="206" customFormat="1" ht="14.25" customHeight="1">
      <c r="A35" s="205"/>
      <c r="B35" s="188"/>
      <c r="C35" s="211"/>
      <c r="E35" s="210"/>
    </row>
    <row r="36" spans="1:5" s="206" customFormat="1" ht="14.25" customHeight="1">
      <c r="A36" s="205"/>
      <c r="B36" s="188"/>
      <c r="C36" s="211"/>
      <c r="E36" s="210"/>
    </row>
    <row r="37" spans="1:5" s="206" customFormat="1" ht="14.25" customHeight="1">
      <c r="A37" s="205"/>
      <c r="B37" s="188"/>
      <c r="C37" s="211"/>
      <c r="E37" s="210"/>
    </row>
    <row r="38" spans="1:3" s="206" customFormat="1" ht="14.25" customHeight="1">
      <c r="A38" s="205"/>
      <c r="B38" s="188"/>
      <c r="C38" s="211"/>
    </row>
    <row r="39" spans="1:5" s="206" customFormat="1" ht="14.25" customHeight="1">
      <c r="A39" s="205"/>
      <c r="B39" s="188"/>
      <c r="C39" s="211"/>
      <c r="E39" s="210"/>
    </row>
    <row r="40" spans="1:5" s="206" customFormat="1" ht="14.25" customHeight="1">
      <c r="A40" s="205"/>
      <c r="B40" s="188"/>
      <c r="C40" s="211"/>
      <c r="E40" s="210"/>
    </row>
    <row r="41" spans="1:3" s="206" customFormat="1" ht="14.25" customHeight="1">
      <c r="A41" s="205"/>
      <c r="B41" s="188"/>
      <c r="C41" s="211"/>
    </row>
    <row r="42" spans="1:5" s="206" customFormat="1" ht="14.25" customHeight="1">
      <c r="A42" s="205"/>
      <c r="B42" s="212"/>
      <c r="D42" s="211"/>
      <c r="E42" s="210"/>
    </row>
    <row r="43" spans="1:5" s="206" customFormat="1" ht="14.25" customHeight="1">
      <c r="A43" s="205"/>
      <c r="B43" s="188"/>
      <c r="C43" s="211"/>
      <c r="E43" s="210"/>
    </row>
    <row r="44" spans="1:5" s="206" customFormat="1" ht="14.25" customHeight="1">
      <c r="A44" s="205"/>
      <c r="B44" s="188"/>
      <c r="C44" s="211"/>
      <c r="E44" s="210"/>
    </row>
    <row r="45" spans="1:5" s="206" customFormat="1" ht="14.25" customHeight="1">
      <c r="A45" s="205"/>
      <c r="B45" s="188"/>
      <c r="C45" s="211"/>
      <c r="E45" s="210"/>
    </row>
    <row r="46" spans="1:5" s="206" customFormat="1" ht="14.25" customHeight="1">
      <c r="A46" s="205"/>
      <c r="B46" s="188"/>
      <c r="C46" s="211"/>
      <c r="E46" s="210"/>
    </row>
    <row r="47" spans="1:5" s="206" customFormat="1" ht="14.25" customHeight="1">
      <c r="A47" s="205"/>
      <c r="B47" s="188"/>
      <c r="C47" s="211"/>
      <c r="E47" s="210"/>
    </row>
    <row r="48" spans="1:5" s="206" customFormat="1" ht="14.25" customHeight="1">
      <c r="A48" s="205"/>
      <c r="B48" s="188"/>
      <c r="C48" s="211"/>
      <c r="E48" s="210"/>
    </row>
    <row r="49" spans="1:5" s="206" customFormat="1" ht="14.25" customHeight="1">
      <c r="A49" s="205"/>
      <c r="B49" s="188"/>
      <c r="C49" s="211"/>
      <c r="E49" s="210"/>
    </row>
    <row r="50" spans="1:5" s="206" customFormat="1" ht="14.25" customHeight="1">
      <c r="A50" s="205"/>
      <c r="B50" s="188"/>
      <c r="C50" s="211"/>
      <c r="E50" s="210"/>
    </row>
    <row r="51" spans="1:5" s="206" customFormat="1" ht="14.25" customHeight="1">
      <c r="A51" s="205"/>
      <c r="B51" s="188"/>
      <c r="C51" s="211"/>
      <c r="E51" s="210"/>
    </row>
    <row r="52" spans="1:5" s="206" customFormat="1" ht="14.25" customHeight="1">
      <c r="A52" s="205"/>
      <c r="B52" s="188"/>
      <c r="C52" s="211"/>
      <c r="E52" s="210"/>
    </row>
    <row r="53" spans="1:5" s="206" customFormat="1" ht="14.25" customHeight="1">
      <c r="A53" s="205"/>
      <c r="B53" s="188"/>
      <c r="C53" s="211"/>
      <c r="E53" s="210"/>
    </row>
    <row r="54" spans="1:3" s="206" customFormat="1" ht="14.25" customHeight="1">
      <c r="A54" s="205"/>
      <c r="B54" s="188"/>
      <c r="C54" s="211"/>
    </row>
    <row r="55" spans="1:5" s="206" customFormat="1" ht="14.25" customHeight="1">
      <c r="A55" s="205"/>
      <c r="B55" s="188"/>
      <c r="C55" s="211"/>
      <c r="E55" s="210"/>
    </row>
    <row r="56" spans="1:5" s="206" customFormat="1" ht="14.25" customHeight="1">
      <c r="A56" s="205"/>
      <c r="B56" s="188"/>
      <c r="C56" s="211"/>
      <c r="E56" s="210"/>
    </row>
    <row r="57" spans="1:3" s="206" customFormat="1" ht="14.25" customHeight="1">
      <c r="A57" s="205"/>
      <c r="B57" s="188"/>
      <c r="C57" s="211"/>
    </row>
    <row r="58" spans="1:5" s="206" customFormat="1" ht="14.25" customHeight="1">
      <c r="A58" s="205"/>
      <c r="B58" s="212"/>
      <c r="D58" s="211"/>
      <c r="E58" s="210"/>
    </row>
    <row r="59" spans="1:5" s="206" customFormat="1" ht="14.25" customHeight="1">
      <c r="A59" s="205"/>
      <c r="B59" s="188"/>
      <c r="C59" s="211"/>
      <c r="E59" s="210"/>
    </row>
    <row r="60" spans="1:5" s="206" customFormat="1" ht="14.25" customHeight="1">
      <c r="A60" s="205"/>
      <c r="B60" s="188"/>
      <c r="C60" s="211"/>
      <c r="E60" s="210"/>
    </row>
    <row r="61" spans="1:5" s="206" customFormat="1" ht="14.25" customHeight="1">
      <c r="A61" s="205"/>
      <c r="B61" s="188"/>
      <c r="C61" s="211"/>
      <c r="E61" s="210"/>
    </row>
    <row r="62" spans="1:5" s="206" customFormat="1" ht="14.25" customHeight="1">
      <c r="A62" s="205"/>
      <c r="B62" s="188"/>
      <c r="C62" s="211"/>
      <c r="E62" s="210"/>
    </row>
    <row r="63" spans="1:5" s="206" customFormat="1" ht="14.25" customHeight="1">
      <c r="A63" s="205"/>
      <c r="B63" s="188"/>
      <c r="C63" s="211"/>
      <c r="E63" s="210"/>
    </row>
    <row r="64" spans="1:5" s="206" customFormat="1" ht="14.25" customHeight="1">
      <c r="A64" s="205"/>
      <c r="B64" s="188"/>
      <c r="C64" s="211"/>
      <c r="E64" s="210"/>
    </row>
    <row r="65" spans="1:5" s="206" customFormat="1" ht="14.25" customHeight="1">
      <c r="A65" s="205"/>
      <c r="B65" s="188"/>
      <c r="C65" s="211"/>
      <c r="E65" s="210"/>
    </row>
    <row r="66" spans="1:5" s="206" customFormat="1" ht="14.25" customHeight="1">
      <c r="A66" s="205"/>
      <c r="B66" s="188"/>
      <c r="C66" s="211"/>
      <c r="E66" s="210"/>
    </row>
    <row r="67" spans="1:5" s="206" customFormat="1" ht="14.25" customHeight="1">
      <c r="A67" s="205"/>
      <c r="B67" s="188"/>
      <c r="C67" s="211"/>
      <c r="E67" s="210"/>
    </row>
    <row r="68" spans="1:5" s="206" customFormat="1" ht="14.25" customHeight="1">
      <c r="A68" s="205"/>
      <c r="B68" s="188"/>
      <c r="C68" s="211"/>
      <c r="E68" s="210"/>
    </row>
    <row r="69" spans="1:5" s="206" customFormat="1" ht="14.25" customHeight="1">
      <c r="A69" s="205"/>
      <c r="B69" s="188"/>
      <c r="C69" s="211"/>
      <c r="E69" s="210"/>
    </row>
    <row r="70" spans="1:3" s="206" customFormat="1" ht="14.25" customHeight="1">
      <c r="A70" s="205"/>
      <c r="B70" s="188"/>
      <c r="C70" s="211"/>
    </row>
    <row r="71" spans="1:5" s="206" customFormat="1" ht="14.25" customHeight="1">
      <c r="A71" s="205"/>
      <c r="B71" s="188"/>
      <c r="C71" s="211"/>
      <c r="E71" s="210"/>
    </row>
    <row r="72" spans="1:5" s="206" customFormat="1" ht="14.25" customHeight="1">
      <c r="A72" s="205"/>
      <c r="B72" s="188"/>
      <c r="C72" s="211"/>
      <c r="E72" s="210"/>
    </row>
    <row r="73" spans="1:3" s="206" customFormat="1" ht="14.25" customHeight="1">
      <c r="A73" s="205"/>
      <c r="B73" s="188"/>
      <c r="C73" s="211"/>
    </row>
    <row r="74" spans="1:5" s="206" customFormat="1" ht="14.25" customHeight="1">
      <c r="A74" s="205"/>
      <c r="B74" s="188"/>
      <c r="C74" s="211"/>
      <c r="E74" s="210"/>
    </row>
    <row r="75" spans="1:5" s="206" customFormat="1" ht="14.25" customHeight="1">
      <c r="A75" s="205"/>
      <c r="B75" s="188"/>
      <c r="C75" s="211"/>
      <c r="E75" s="210"/>
    </row>
    <row r="76" spans="1:5" s="206" customFormat="1" ht="14.25" customHeight="1">
      <c r="A76" s="205"/>
      <c r="B76" s="188"/>
      <c r="C76" s="211"/>
      <c r="E76" s="210"/>
    </row>
    <row r="77" spans="1:5" s="206" customFormat="1" ht="14.25" customHeight="1">
      <c r="A77" s="205"/>
      <c r="B77" s="188"/>
      <c r="C77" s="211"/>
      <c r="E77" s="210"/>
    </row>
    <row r="78" spans="1:5" s="206" customFormat="1" ht="14.25" customHeight="1">
      <c r="A78" s="205"/>
      <c r="B78" s="188"/>
      <c r="C78" s="211"/>
      <c r="E78" s="210"/>
    </row>
    <row r="79" spans="1:5" s="206" customFormat="1" ht="14.25" customHeight="1">
      <c r="A79" s="205"/>
      <c r="B79" s="188"/>
      <c r="C79" s="211"/>
      <c r="E79" s="210"/>
    </row>
    <row r="80" spans="1:5" s="206" customFormat="1" ht="14.25" customHeight="1">
      <c r="A80" s="205"/>
      <c r="B80" s="188"/>
      <c r="C80" s="211"/>
      <c r="E80" s="210"/>
    </row>
    <row r="81" spans="1:3" s="206" customFormat="1" ht="14.25" customHeight="1">
      <c r="A81" s="205"/>
      <c r="B81" s="188"/>
      <c r="C81" s="211"/>
    </row>
    <row r="82" spans="1:5" s="206" customFormat="1" ht="14.25" customHeight="1">
      <c r="A82" s="205"/>
      <c r="B82" s="188"/>
      <c r="C82" s="211"/>
      <c r="E82" s="210"/>
    </row>
    <row r="83" spans="1:5" s="206" customFormat="1" ht="14.25" customHeight="1">
      <c r="A83" s="205"/>
      <c r="B83" s="188"/>
      <c r="C83" s="211"/>
      <c r="E83" s="210"/>
    </row>
    <row r="84" spans="1:3" s="206" customFormat="1" ht="14.25" customHeight="1">
      <c r="A84" s="205"/>
      <c r="B84" s="188"/>
      <c r="C84" s="211"/>
    </row>
    <row r="85" spans="1:5" s="206" customFormat="1" ht="14.25" customHeight="1">
      <c r="A85" s="205"/>
      <c r="B85" s="188"/>
      <c r="C85" s="211"/>
      <c r="E85" s="210"/>
    </row>
    <row r="86" spans="1:5" s="206" customFormat="1" ht="14.25" customHeight="1">
      <c r="A86" s="205"/>
      <c r="B86" s="188"/>
      <c r="C86" s="211"/>
      <c r="E86" s="210"/>
    </row>
    <row r="87" spans="1:5" s="206" customFormat="1" ht="14.25" customHeight="1">
      <c r="A87" s="205"/>
      <c r="B87" s="188"/>
      <c r="C87" s="211"/>
      <c r="E87" s="210"/>
    </row>
    <row r="88" spans="1:5" s="206" customFormat="1" ht="14.25" customHeight="1">
      <c r="A88" s="205"/>
      <c r="B88" s="188"/>
      <c r="C88" s="211"/>
      <c r="E88" s="210"/>
    </row>
    <row r="89" spans="1:5" s="206" customFormat="1" ht="14.25" customHeight="1">
      <c r="A89" s="205"/>
      <c r="B89" s="188"/>
      <c r="C89" s="211"/>
      <c r="E89" s="210"/>
    </row>
    <row r="90" spans="1:5" s="206" customFormat="1" ht="14.25" customHeight="1">
      <c r="A90" s="205"/>
      <c r="B90" s="188"/>
      <c r="C90" s="211"/>
      <c r="E90" s="210"/>
    </row>
    <row r="91" spans="1:5" s="206" customFormat="1" ht="14.25" customHeight="1">
      <c r="A91" s="205"/>
      <c r="B91" s="188"/>
      <c r="C91" s="211"/>
      <c r="E91" s="210"/>
    </row>
    <row r="92" spans="1:3" s="206" customFormat="1" ht="14.25" customHeight="1">
      <c r="A92" s="205"/>
      <c r="B92" s="188"/>
      <c r="C92" s="211"/>
    </row>
    <row r="93" spans="2:8" ht="14.25" customHeight="1">
      <c r="B93" s="188"/>
      <c r="C93" s="211"/>
      <c r="D93" s="206"/>
      <c r="E93" s="210"/>
      <c r="F93" s="206"/>
      <c r="G93" s="206"/>
      <c r="H93" s="206"/>
    </row>
    <row r="94" spans="2:8" ht="14.25" customHeight="1">
      <c r="B94" s="188"/>
      <c r="C94" s="211"/>
      <c r="D94" s="206"/>
      <c r="E94" s="210"/>
      <c r="F94" s="206"/>
      <c r="G94" s="206"/>
      <c r="H94" s="206"/>
    </row>
    <row r="95" spans="2:8" ht="14.25" customHeight="1">
      <c r="B95" s="188"/>
      <c r="C95" s="211"/>
      <c r="D95" s="206"/>
      <c r="E95" s="206"/>
      <c r="F95" s="206"/>
      <c r="G95" s="206"/>
      <c r="H95" s="206"/>
    </row>
    <row r="96" spans="2:8" ht="14.25" customHeight="1">
      <c r="B96" s="188"/>
      <c r="C96" s="211"/>
      <c r="D96" s="206"/>
      <c r="E96" s="210"/>
      <c r="F96" s="206"/>
      <c r="G96" s="206"/>
      <c r="H96" s="206"/>
    </row>
    <row r="97" spans="2:8" ht="14.25" customHeight="1">
      <c r="B97" s="188"/>
      <c r="C97" s="211"/>
      <c r="D97" s="206"/>
      <c r="E97" s="210"/>
      <c r="F97" s="206"/>
      <c r="G97" s="206"/>
      <c r="H97" s="206"/>
    </row>
    <row r="98" spans="2:8" ht="14.25" customHeight="1">
      <c r="B98" s="188"/>
      <c r="C98" s="211"/>
      <c r="D98" s="206"/>
      <c r="E98" s="210"/>
      <c r="F98" s="206"/>
      <c r="G98" s="206"/>
      <c r="H98" s="206"/>
    </row>
    <row r="99" spans="2:8" ht="14.25" customHeight="1">
      <c r="B99" s="188"/>
      <c r="C99" s="211"/>
      <c r="D99" s="206"/>
      <c r="E99" s="210"/>
      <c r="F99" s="206"/>
      <c r="G99" s="206"/>
      <c r="H99" s="206"/>
    </row>
    <row r="100" spans="2:8" ht="14.25" customHeight="1">
      <c r="B100" s="188"/>
      <c r="C100" s="211"/>
      <c r="D100" s="206"/>
      <c r="E100" s="210"/>
      <c r="F100" s="206"/>
      <c r="G100" s="206"/>
      <c r="H100" s="206"/>
    </row>
    <row r="101" spans="2:8" ht="14.25" customHeight="1">
      <c r="B101" s="188"/>
      <c r="C101" s="211"/>
      <c r="D101" s="206"/>
      <c r="E101" s="210"/>
      <c r="F101" s="206"/>
      <c r="G101" s="206"/>
      <c r="H101" s="206"/>
    </row>
    <row r="102" spans="2:8" ht="14.25" customHeight="1">
      <c r="B102" s="188"/>
      <c r="C102" s="211"/>
      <c r="D102" s="206"/>
      <c r="E102" s="210"/>
      <c r="F102" s="206"/>
      <c r="G102" s="206"/>
      <c r="H102" s="206"/>
    </row>
    <row r="103" spans="2:8" ht="14.25" customHeight="1">
      <c r="B103" s="188"/>
      <c r="C103" s="211"/>
      <c r="D103" s="206"/>
      <c r="E103" s="206"/>
      <c r="F103" s="206"/>
      <c r="G103" s="206"/>
      <c r="H103" s="206"/>
    </row>
    <row r="104" spans="2:8" ht="14.25" customHeight="1">
      <c r="B104" s="188"/>
      <c r="C104" s="211"/>
      <c r="D104" s="206"/>
      <c r="E104" s="210"/>
      <c r="F104" s="206"/>
      <c r="G104" s="206"/>
      <c r="H104" s="206"/>
    </row>
    <row r="105" spans="2:8" ht="14.25" customHeight="1">
      <c r="B105" s="188"/>
      <c r="C105" s="211"/>
      <c r="D105" s="206"/>
      <c r="E105" s="210"/>
      <c r="F105" s="206"/>
      <c r="G105" s="206"/>
      <c r="H105" s="206"/>
    </row>
    <row r="106" spans="2:8" ht="14.25" customHeight="1">
      <c r="B106" s="188"/>
      <c r="C106" s="211"/>
      <c r="D106" s="206"/>
      <c r="E106" s="206"/>
      <c r="F106" s="206"/>
      <c r="G106" s="206"/>
      <c r="H106" s="206"/>
    </row>
    <row r="107" spans="2:8" ht="14.25" customHeight="1">
      <c r="B107" s="188"/>
      <c r="C107" s="211"/>
      <c r="D107" s="206"/>
      <c r="E107" s="210"/>
      <c r="F107" s="206"/>
      <c r="G107" s="206"/>
      <c r="H107" s="206"/>
    </row>
    <row r="108" spans="2:8" ht="14.25" customHeight="1">
      <c r="B108" s="188"/>
      <c r="C108" s="211"/>
      <c r="D108" s="206"/>
      <c r="E108" s="210"/>
      <c r="F108" s="206"/>
      <c r="G108" s="206"/>
      <c r="H108" s="206"/>
    </row>
    <row r="109" spans="2:8" ht="14.25" customHeight="1">
      <c r="B109" s="188"/>
      <c r="C109" s="211"/>
      <c r="D109" s="206"/>
      <c r="E109" s="210"/>
      <c r="F109" s="206"/>
      <c r="G109" s="206"/>
      <c r="H109" s="206"/>
    </row>
    <row r="110" spans="2:8" ht="14.25" customHeight="1">
      <c r="B110" s="188"/>
      <c r="C110" s="211"/>
      <c r="D110" s="206"/>
      <c r="E110" s="210"/>
      <c r="F110" s="206"/>
      <c r="G110" s="206"/>
      <c r="H110" s="206"/>
    </row>
  </sheetData>
  <sheetProtection password="BA4F" sheet="1" selectLockedCells="1"/>
  <conditionalFormatting sqref="I2:K17">
    <cfRule type="expression" priority="1" dxfId="4" stopIfTrue="1">
      <formula>Gender="Male"</formula>
    </cfRule>
    <cfRule type="expression" priority="2" dxfId="8" stopIfTrue="1">
      <formula>$B2&lt;=TODAY()</formula>
    </cfRule>
    <cfRule type="expression" priority="3" dxfId="0" stopIfTrue="1">
      <formula>$B2&gt;AltDeadline</formula>
    </cfRule>
  </conditionalFormatting>
  <conditionalFormatting sqref="B2:B17">
    <cfRule type="expression" priority="4" dxfId="8" stopIfTrue="1">
      <formula>$B2&lt;=TODAY()</formula>
    </cfRule>
    <cfRule type="expression" priority="5" dxfId="0" stopIfTrue="1">
      <formula>$B2&gt;AltDeadline</formula>
    </cfRule>
    <cfRule type="expression" priority="6" dxfId="9" stopIfTrue="1">
      <formula>SUM($B2-TODAY())&lt;MeasurementDays</formula>
    </cfRule>
  </conditionalFormatting>
  <conditionalFormatting sqref="C2:H17">
    <cfRule type="expression" priority="7" dxfId="8" stopIfTrue="1">
      <formula>$B2&lt;=TODAY()</formula>
    </cfRule>
    <cfRule type="expression" priority="8" dxfId="0" stopIfTrue="1">
      <formula>$B2&gt;AltDeadline</formula>
    </cfRule>
  </conditionalFormatting>
  <conditionalFormatting sqref="I18:K18">
    <cfRule type="expression" priority="9" dxfId="4" stopIfTrue="1">
      <formula>Gender="Male"</formula>
    </cfRule>
    <cfRule type="expression" priority="10" dxfId="8" stopIfTrue="1">
      <formula>$B18&lt;=TODAY()</formula>
    </cfRule>
  </conditionalFormatting>
  <conditionalFormatting sqref="C23:H23">
    <cfRule type="expression" priority="11" dxfId="10" stopIfTrue="1">
      <formula>C23="On Target"</formula>
    </cfRule>
    <cfRule type="expression" priority="12" dxfId="11" stopIfTrue="1">
      <formula>C23="Off Target"</formula>
    </cfRule>
    <cfRule type="expression" priority="13" dxfId="0" stopIfTrue="1">
      <formula>ISERROR(C23)</formula>
    </cfRule>
  </conditionalFormatting>
  <conditionalFormatting sqref="C20:H22">
    <cfRule type="expression" priority="14" dxfId="0" stopIfTrue="1">
      <formula>ISERROR(C20)</formula>
    </cfRule>
  </conditionalFormatting>
  <conditionalFormatting sqref="I20:K23">
    <cfRule type="expression" priority="15" dxfId="3" stopIfTrue="1">
      <formula>Gender="Male"</formula>
    </cfRule>
    <cfRule type="expression" priority="16" dxfId="0" stopIfTrue="1">
      <formula>ISERROR(I20)</formula>
    </cfRule>
  </conditionalFormatting>
  <conditionalFormatting sqref="I1:K1">
    <cfRule type="expression" priority="17" dxfId="4" stopIfTrue="1">
      <formula>Gender="Male"</formula>
    </cfRule>
  </conditionalFormatting>
  <printOptions horizontalCentered="1" verticalCentered="1"/>
  <pageMargins left="0" right="0" top="0" bottom="0" header="0" footer="0"/>
  <pageSetup draft="1" fitToHeight="1" fitToWidth="1" orientation="landscape" pageOrder="overThenDown" scale="75" r:id="rId1"/>
  <ignoredErrors>
    <ignoredError sqref="I23:K23 I21:K21" evalError="1"/>
    <ignoredError sqref="J2:K2 I2 D2:H17 C5:C15 C2:C3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50"/>
    <pageSetUpPr fitToPage="1"/>
  </sheetPr>
  <dimension ref="A1:P48"/>
  <sheetViews>
    <sheetView showGridLines="0" showRowColHeaders="0" showZeros="0" showOutlineSymbols="0" workbookViewId="0" topLeftCell="A1">
      <selection activeCell="C3" sqref="C3"/>
    </sheetView>
  </sheetViews>
  <sheetFormatPr defaultColWidth="9.140625" defaultRowHeight="15"/>
  <cols>
    <col min="1" max="1" width="13.7109375" style="359" bestFit="1" customWidth="1"/>
    <col min="2" max="2" width="20.7109375" style="359" bestFit="1" customWidth="1"/>
    <col min="3" max="7" width="18.140625" style="359" customWidth="1"/>
    <col min="8" max="8" width="18.140625" style="352" customWidth="1"/>
    <col min="9" max="9" width="1.7109375" style="352" customWidth="1"/>
    <col min="10" max="10" width="24.00390625" style="353" customWidth="1"/>
    <col min="11" max="11" width="24.00390625" style="352" customWidth="1"/>
    <col min="12" max="15" width="3.7109375" style="359" customWidth="1"/>
    <col min="16" max="16384" width="10.28125" style="352" customWidth="1"/>
  </cols>
  <sheetData>
    <row r="1" spans="1:15" ht="25.5" customHeight="1" thickBot="1">
      <c r="A1" s="431" t="s">
        <v>90</v>
      </c>
      <c r="B1" s="431" t="s">
        <v>91</v>
      </c>
      <c r="C1" s="427" t="s">
        <v>92</v>
      </c>
      <c r="D1" s="427" t="s">
        <v>93</v>
      </c>
      <c r="E1" s="425" t="s">
        <v>94</v>
      </c>
      <c r="F1" s="427" t="s">
        <v>95</v>
      </c>
      <c r="G1" s="427" t="s">
        <v>96</v>
      </c>
      <c r="H1" s="427" t="s">
        <v>97</v>
      </c>
      <c r="L1" s="422" t="s">
        <v>98</v>
      </c>
      <c r="M1" s="423"/>
      <c r="N1" s="423"/>
      <c r="O1" s="424"/>
    </row>
    <row r="2" spans="1:15" ht="25.5" customHeight="1" thickBot="1">
      <c r="A2" s="432"/>
      <c r="B2" s="432"/>
      <c r="C2" s="428"/>
      <c r="D2" s="428"/>
      <c r="E2" s="426"/>
      <c r="F2" s="428"/>
      <c r="G2" s="428"/>
      <c r="H2" s="428"/>
      <c r="J2" s="429" t="s">
        <v>99</v>
      </c>
      <c r="K2" s="430"/>
      <c r="L2" s="354">
        <v>1</v>
      </c>
      <c r="M2" s="356">
        <v>2</v>
      </c>
      <c r="N2" s="356">
        <v>3</v>
      </c>
      <c r="O2" s="355">
        <v>4</v>
      </c>
    </row>
    <row r="3" spans="1:16" ht="18" thickBot="1">
      <c r="A3" s="357">
        <f>AltDeadline-B3</f>
        <v>105</v>
      </c>
      <c r="B3" s="358">
        <f ca="1">IF(TODAY()&lt;Results!A9,Results!A5,IF(TODAY()&lt;Results!A13,Results!A9,IF(TODAY()&lt;Results!A17,Results!A13,IF(TODAY()&lt;Results!A20,Results!A17))))</f>
        <v>41356</v>
      </c>
      <c r="C3" s="382"/>
      <c r="D3" s="383"/>
      <c r="E3" s="383"/>
      <c r="F3" s="383"/>
      <c r="G3" s="384"/>
      <c r="H3" s="384"/>
      <c r="J3" s="441" t="s">
        <v>108</v>
      </c>
      <c r="K3" s="442"/>
      <c r="L3" s="393"/>
      <c r="M3" s="393"/>
      <c r="N3" s="393"/>
      <c r="O3" s="393"/>
      <c r="P3" s="359"/>
    </row>
    <row r="4" spans="1:16" ht="18" thickBot="1">
      <c r="A4" s="360">
        <f aca="true" t="shared" si="0" ref="A4:A30">A3-1</f>
        <v>104</v>
      </c>
      <c r="B4" s="361">
        <f aca="true" t="shared" si="1" ref="B4:B30">B3+1</f>
        <v>41357</v>
      </c>
      <c r="C4" s="382"/>
      <c r="D4" s="384"/>
      <c r="E4" s="384"/>
      <c r="F4" s="384"/>
      <c r="G4" s="384"/>
      <c r="H4" s="384"/>
      <c r="J4" s="433" t="s">
        <v>100</v>
      </c>
      <c r="K4" s="434"/>
      <c r="L4" s="393"/>
      <c r="M4" s="393"/>
      <c r="N4" s="393"/>
      <c r="O4" s="393"/>
      <c r="P4" s="359"/>
    </row>
    <row r="5" spans="1:16" ht="18" thickBot="1">
      <c r="A5" s="360">
        <f t="shared" si="0"/>
        <v>103</v>
      </c>
      <c r="B5" s="361">
        <f t="shared" si="1"/>
        <v>41358</v>
      </c>
      <c r="C5" s="382"/>
      <c r="D5" s="384"/>
      <c r="E5" s="384"/>
      <c r="F5" s="384"/>
      <c r="G5" s="384"/>
      <c r="H5" s="384"/>
      <c r="J5" s="433" t="s">
        <v>101</v>
      </c>
      <c r="K5" s="434"/>
      <c r="L5" s="393"/>
      <c r="M5" s="393"/>
      <c r="N5" s="393"/>
      <c r="O5" s="393"/>
      <c r="P5" s="359"/>
    </row>
    <row r="6" spans="1:16" ht="18" thickBot="1">
      <c r="A6" s="360">
        <f t="shared" si="0"/>
        <v>102</v>
      </c>
      <c r="B6" s="361">
        <f t="shared" si="1"/>
        <v>41359</v>
      </c>
      <c r="C6" s="382"/>
      <c r="D6" s="384"/>
      <c r="E6" s="384"/>
      <c r="F6" s="384"/>
      <c r="G6" s="384"/>
      <c r="H6" s="384"/>
      <c r="J6" s="433" t="s">
        <v>102</v>
      </c>
      <c r="K6" s="434"/>
      <c r="L6" s="393"/>
      <c r="M6" s="393"/>
      <c r="N6" s="393"/>
      <c r="O6" s="393"/>
      <c r="P6" s="359"/>
    </row>
    <row r="7" spans="1:16" ht="18" thickBot="1">
      <c r="A7" s="360">
        <f t="shared" si="0"/>
        <v>101</v>
      </c>
      <c r="B7" s="361">
        <f t="shared" si="1"/>
        <v>41360</v>
      </c>
      <c r="C7" s="382"/>
      <c r="D7" s="384"/>
      <c r="E7" s="384"/>
      <c r="F7" s="384"/>
      <c r="G7" s="384"/>
      <c r="H7" s="384"/>
      <c r="J7" s="433"/>
      <c r="K7" s="434"/>
      <c r="L7" s="393"/>
      <c r="M7" s="393"/>
      <c r="N7" s="393"/>
      <c r="O7" s="393"/>
      <c r="P7" s="359"/>
    </row>
    <row r="8" spans="1:16" ht="18" thickBot="1">
      <c r="A8" s="360">
        <f t="shared" si="0"/>
        <v>100</v>
      </c>
      <c r="B8" s="361">
        <f t="shared" si="1"/>
        <v>41361</v>
      </c>
      <c r="C8" s="382"/>
      <c r="D8" s="384"/>
      <c r="E8" s="384"/>
      <c r="F8" s="384"/>
      <c r="G8" s="384"/>
      <c r="H8" s="384"/>
      <c r="J8" s="433"/>
      <c r="K8" s="434"/>
      <c r="L8" s="393"/>
      <c r="M8" s="393"/>
      <c r="N8" s="393"/>
      <c r="O8" s="393"/>
      <c r="P8" s="359"/>
    </row>
    <row r="9" spans="1:16" ht="18" thickBot="1">
      <c r="A9" s="362">
        <f t="shared" si="0"/>
        <v>99</v>
      </c>
      <c r="B9" s="363">
        <f t="shared" si="1"/>
        <v>41362</v>
      </c>
      <c r="C9" s="385"/>
      <c r="D9" s="386"/>
      <c r="E9" s="386"/>
      <c r="F9" s="386"/>
      <c r="G9" s="386"/>
      <c r="H9" s="386"/>
      <c r="J9" s="433"/>
      <c r="K9" s="434"/>
      <c r="L9" s="393"/>
      <c r="M9" s="393"/>
      <c r="N9" s="393"/>
      <c r="O9" s="393"/>
      <c r="P9" s="359"/>
    </row>
    <row r="10" spans="1:15" ht="18" thickBot="1">
      <c r="A10" s="360">
        <f t="shared" si="0"/>
        <v>98</v>
      </c>
      <c r="B10" s="361">
        <f t="shared" si="1"/>
        <v>41363</v>
      </c>
      <c r="C10" s="387"/>
      <c r="D10" s="383"/>
      <c r="E10" s="383"/>
      <c r="F10" s="383"/>
      <c r="G10" s="383"/>
      <c r="H10" s="383"/>
      <c r="J10" s="433"/>
      <c r="K10" s="434"/>
      <c r="L10" s="393"/>
      <c r="M10" s="393"/>
      <c r="N10" s="393"/>
      <c r="O10" s="393"/>
    </row>
    <row r="11" spans="1:15" ht="18" thickBot="1">
      <c r="A11" s="360">
        <f t="shared" si="0"/>
        <v>97</v>
      </c>
      <c r="B11" s="361">
        <f t="shared" si="1"/>
        <v>41364</v>
      </c>
      <c r="C11" s="382"/>
      <c r="D11" s="384"/>
      <c r="E11" s="384"/>
      <c r="F11" s="384"/>
      <c r="G11" s="384"/>
      <c r="H11" s="384"/>
      <c r="J11" s="433"/>
      <c r="K11" s="434"/>
      <c r="L11" s="393"/>
      <c r="M11" s="393"/>
      <c r="N11" s="393"/>
      <c r="O11" s="393"/>
    </row>
    <row r="12" spans="1:15" ht="18" thickBot="1">
      <c r="A12" s="360">
        <f t="shared" si="0"/>
        <v>96</v>
      </c>
      <c r="B12" s="361">
        <f t="shared" si="1"/>
        <v>41365</v>
      </c>
      <c r="C12" s="382"/>
      <c r="D12" s="384"/>
      <c r="E12" s="384"/>
      <c r="F12" s="384"/>
      <c r="G12" s="384"/>
      <c r="H12" s="384"/>
      <c r="J12" s="433"/>
      <c r="K12" s="434"/>
      <c r="L12" s="393"/>
      <c r="M12" s="393"/>
      <c r="N12" s="393"/>
      <c r="O12" s="393"/>
    </row>
    <row r="13" spans="1:15" ht="18" thickBot="1">
      <c r="A13" s="360">
        <f t="shared" si="0"/>
        <v>95</v>
      </c>
      <c r="B13" s="361">
        <f t="shared" si="1"/>
        <v>41366</v>
      </c>
      <c r="C13" s="382"/>
      <c r="D13" s="384"/>
      <c r="E13" s="384"/>
      <c r="F13" s="384"/>
      <c r="G13" s="384"/>
      <c r="H13" s="384"/>
      <c r="J13" s="433"/>
      <c r="K13" s="434"/>
      <c r="L13" s="393"/>
      <c r="M13" s="393"/>
      <c r="N13" s="393"/>
      <c r="O13" s="393"/>
    </row>
    <row r="14" spans="1:15" ht="18" thickBot="1">
      <c r="A14" s="360">
        <f t="shared" si="0"/>
        <v>94</v>
      </c>
      <c r="B14" s="361">
        <f t="shared" si="1"/>
        <v>41367</v>
      </c>
      <c r="C14" s="382"/>
      <c r="D14" s="384"/>
      <c r="E14" s="384"/>
      <c r="F14" s="384"/>
      <c r="G14" s="384"/>
      <c r="H14" s="384"/>
      <c r="J14" s="433"/>
      <c r="K14" s="434"/>
      <c r="L14" s="393"/>
      <c r="M14" s="393"/>
      <c r="N14" s="393"/>
      <c r="O14" s="393"/>
    </row>
    <row r="15" spans="1:15" ht="18" thickBot="1">
      <c r="A15" s="360">
        <f t="shared" si="0"/>
        <v>93</v>
      </c>
      <c r="B15" s="361">
        <f t="shared" si="1"/>
        <v>41368</v>
      </c>
      <c r="C15" s="382"/>
      <c r="D15" s="384"/>
      <c r="E15" s="384"/>
      <c r="F15" s="384"/>
      <c r="G15" s="384"/>
      <c r="H15" s="384"/>
      <c r="J15" s="433"/>
      <c r="K15" s="434"/>
      <c r="L15" s="393"/>
      <c r="M15" s="393"/>
      <c r="N15" s="393"/>
      <c r="O15" s="393"/>
    </row>
    <row r="16" spans="1:15" ht="18" thickBot="1">
      <c r="A16" s="362">
        <f t="shared" si="0"/>
        <v>92</v>
      </c>
      <c r="B16" s="363">
        <f t="shared" si="1"/>
        <v>41369</v>
      </c>
      <c r="C16" s="385"/>
      <c r="D16" s="386"/>
      <c r="E16" s="386"/>
      <c r="F16" s="386"/>
      <c r="G16" s="386"/>
      <c r="H16" s="386"/>
      <c r="J16" s="435"/>
      <c r="K16" s="436"/>
      <c r="L16" s="393"/>
      <c r="M16" s="393"/>
      <c r="N16" s="393"/>
      <c r="O16" s="393"/>
    </row>
    <row r="17" spans="1:8" ht="18" thickBot="1">
      <c r="A17" s="360">
        <f t="shared" si="0"/>
        <v>91</v>
      </c>
      <c r="B17" s="361">
        <f t="shared" si="1"/>
        <v>41370</v>
      </c>
      <c r="C17" s="387"/>
      <c r="D17" s="383"/>
      <c r="E17" s="383"/>
      <c r="F17" s="383"/>
      <c r="G17" s="383"/>
      <c r="H17" s="383"/>
    </row>
    <row r="18" spans="1:11" ht="18" thickBot="1">
      <c r="A18" s="360">
        <f t="shared" si="0"/>
        <v>90</v>
      </c>
      <c r="B18" s="361">
        <f t="shared" si="1"/>
        <v>41371</v>
      </c>
      <c r="C18" s="382"/>
      <c r="D18" s="384"/>
      <c r="E18" s="384"/>
      <c r="F18" s="384"/>
      <c r="G18" s="384"/>
      <c r="H18" s="384"/>
      <c r="J18" s="429" t="s">
        <v>99</v>
      </c>
      <c r="K18" s="430"/>
    </row>
    <row r="19" spans="1:11" ht="18" thickBot="1">
      <c r="A19" s="360">
        <f t="shared" si="0"/>
        <v>89</v>
      </c>
      <c r="B19" s="361">
        <f t="shared" si="1"/>
        <v>41372</v>
      </c>
      <c r="C19" s="382"/>
      <c r="D19" s="384"/>
      <c r="E19" s="384"/>
      <c r="F19" s="384"/>
      <c r="G19" s="384"/>
      <c r="H19" s="384"/>
      <c r="J19" s="364" t="s">
        <v>103</v>
      </c>
      <c r="K19" s="365" t="s">
        <v>104</v>
      </c>
    </row>
    <row r="20" spans="1:11" ht="18" thickBot="1">
      <c r="A20" s="360">
        <f t="shared" si="0"/>
        <v>88</v>
      </c>
      <c r="B20" s="361">
        <f t="shared" si="1"/>
        <v>41373</v>
      </c>
      <c r="C20" s="382"/>
      <c r="D20" s="384"/>
      <c r="E20" s="384"/>
      <c r="F20" s="384"/>
      <c r="G20" s="384"/>
      <c r="H20" s="384"/>
      <c r="J20" s="366">
        <f ca="1">IF(TODAY()&lt;=B9,B33,IF(TODAY()&lt;=B16,C33,IF(TODAY()&lt;=B23,D33,IF(TODAY()&lt;=B30,E33))))</f>
        <v>0</v>
      </c>
      <c r="K20" s="367">
        <f>SUM(B33:E33)</f>
        <v>0</v>
      </c>
    </row>
    <row r="21" spans="1:11" ht="18" thickBot="1">
      <c r="A21" s="360">
        <f t="shared" si="0"/>
        <v>87</v>
      </c>
      <c r="B21" s="361">
        <f t="shared" si="1"/>
        <v>41374</v>
      </c>
      <c r="C21" s="382"/>
      <c r="D21" s="384"/>
      <c r="E21" s="384"/>
      <c r="F21" s="384"/>
      <c r="G21" s="384"/>
      <c r="H21" s="384"/>
      <c r="J21" s="364" t="s">
        <v>105</v>
      </c>
      <c r="K21" s="365" t="s">
        <v>106</v>
      </c>
    </row>
    <row r="22" spans="1:11" ht="18" thickBot="1">
      <c r="A22" s="360">
        <f t="shared" si="0"/>
        <v>86</v>
      </c>
      <c r="B22" s="361">
        <f t="shared" si="1"/>
        <v>41375</v>
      </c>
      <c r="C22" s="382"/>
      <c r="D22" s="384"/>
      <c r="E22" s="384"/>
      <c r="F22" s="384"/>
      <c r="G22" s="384"/>
      <c r="H22" s="384"/>
      <c r="J22" s="368">
        <f ca="1">IF(TODAY()&lt;=B9,SUM(L3:L16),IF(TODAY()&lt;=B16,SUM(M3:M16),IF(TODAY()&lt;=B23,SUM(N3:N16),IF(TODAY()&lt;=B30,SUM(O3:O16)))))</f>
        <v>0</v>
      </c>
      <c r="K22" s="369">
        <f>J20-J22</f>
        <v>0</v>
      </c>
    </row>
    <row r="23" spans="1:11" ht="18" thickBot="1">
      <c r="A23" s="362">
        <f t="shared" si="0"/>
        <v>85</v>
      </c>
      <c r="B23" s="363">
        <f t="shared" si="1"/>
        <v>41376</v>
      </c>
      <c r="C23" s="385"/>
      <c r="D23" s="386"/>
      <c r="E23" s="386"/>
      <c r="F23" s="386"/>
      <c r="G23" s="386"/>
      <c r="H23" s="386"/>
      <c r="J23" s="370"/>
      <c r="K23" s="371"/>
    </row>
    <row r="24" spans="1:11" ht="18" thickBot="1">
      <c r="A24" s="360">
        <f t="shared" si="0"/>
        <v>84</v>
      </c>
      <c r="B24" s="361">
        <f t="shared" si="1"/>
        <v>41377</v>
      </c>
      <c r="C24" s="387"/>
      <c r="D24" s="383"/>
      <c r="E24" s="383"/>
      <c r="F24" s="383"/>
      <c r="G24" s="383"/>
      <c r="H24" s="383"/>
      <c r="J24" s="439" t="s">
        <v>107</v>
      </c>
      <c r="K24" s="440"/>
    </row>
    <row r="25" spans="1:11" ht="17.25">
      <c r="A25" s="360">
        <f t="shared" si="0"/>
        <v>83</v>
      </c>
      <c r="B25" s="361">
        <f t="shared" si="1"/>
        <v>41378</v>
      </c>
      <c r="C25" s="382"/>
      <c r="D25" s="384"/>
      <c r="E25" s="384"/>
      <c r="F25" s="384"/>
      <c r="G25" s="384"/>
      <c r="H25" s="384"/>
      <c r="J25" s="372" t="str">
        <f>C1</f>
        <v>Weighted Exercises</v>
      </c>
      <c r="K25" s="390">
        <v>10</v>
      </c>
    </row>
    <row r="26" spans="1:11" ht="17.25">
      <c r="A26" s="360">
        <f t="shared" si="0"/>
        <v>82</v>
      </c>
      <c r="B26" s="361">
        <f t="shared" si="1"/>
        <v>41379</v>
      </c>
      <c r="C26" s="382"/>
      <c r="D26" s="384"/>
      <c r="E26" s="384"/>
      <c r="F26" s="384"/>
      <c r="G26" s="384"/>
      <c r="H26" s="384"/>
      <c r="J26" s="373" t="str">
        <f>D1</f>
        <v>Beat Previous 1RM</v>
      </c>
      <c r="K26" s="391">
        <v>2</v>
      </c>
    </row>
    <row r="27" spans="1:11" ht="17.25">
      <c r="A27" s="360">
        <f t="shared" si="0"/>
        <v>81</v>
      </c>
      <c r="B27" s="361">
        <f t="shared" si="1"/>
        <v>41380</v>
      </c>
      <c r="C27" s="382"/>
      <c r="D27" s="384"/>
      <c r="E27" s="384"/>
      <c r="F27" s="384"/>
      <c r="G27" s="384"/>
      <c r="H27" s="384"/>
      <c r="J27" s="373" t="str">
        <f>E1</f>
        <v>Circuits</v>
      </c>
      <c r="K27" s="391">
        <v>10</v>
      </c>
    </row>
    <row r="28" spans="1:11" ht="17.25">
      <c r="A28" s="360">
        <f t="shared" si="0"/>
        <v>80</v>
      </c>
      <c r="B28" s="361">
        <f t="shared" si="1"/>
        <v>41381</v>
      </c>
      <c r="C28" s="382"/>
      <c r="D28" s="384"/>
      <c r="E28" s="384"/>
      <c r="F28" s="384"/>
      <c r="G28" s="384"/>
      <c r="H28" s="384"/>
      <c r="J28" s="373" t="str">
        <f>F1</f>
        <v>95%+ Diet Compliance</v>
      </c>
      <c r="K28" s="391">
        <v>7</v>
      </c>
    </row>
    <row r="29" spans="1:11" ht="17.25">
      <c r="A29" s="360">
        <f t="shared" si="0"/>
        <v>79</v>
      </c>
      <c r="B29" s="361">
        <f t="shared" si="1"/>
        <v>41382</v>
      </c>
      <c r="C29" s="382"/>
      <c r="D29" s="384"/>
      <c r="E29" s="384"/>
      <c r="F29" s="384"/>
      <c r="G29" s="384"/>
      <c r="H29" s="384"/>
      <c r="J29" s="373" t="str">
        <f>G1</f>
        <v>Cardio (KMs)</v>
      </c>
      <c r="K29" s="391">
        <v>25</v>
      </c>
    </row>
    <row r="30" spans="1:11" ht="18" thickBot="1">
      <c r="A30" s="374">
        <f t="shared" si="0"/>
        <v>78</v>
      </c>
      <c r="B30" s="375">
        <f t="shared" si="1"/>
        <v>41383</v>
      </c>
      <c r="C30" s="388"/>
      <c r="D30" s="389"/>
      <c r="E30" s="386"/>
      <c r="F30" s="386"/>
      <c r="G30" s="386"/>
      <c r="H30" s="389"/>
      <c r="J30" s="376" t="str">
        <f>H1</f>
        <v>Body Comp on Track</v>
      </c>
      <c r="K30" s="392">
        <v>3</v>
      </c>
    </row>
    <row r="31" spans="1:8" ht="17.25">
      <c r="A31" s="438"/>
      <c r="B31" s="437"/>
      <c r="C31" s="443" t="str">
        <f ca="1">CONCATENATE(AltDeadline-TODAY()," ","Days Until Deadline - ",SUM(TODAY()-Results!A5)," Days Passed")</f>
        <v>105 Days Until Deadline - 0 Days Passed</v>
      </c>
      <c r="D31" s="444"/>
      <c r="E31" s="444"/>
      <c r="F31" s="444"/>
      <c r="G31" s="444"/>
      <c r="H31" s="445"/>
    </row>
    <row r="32" spans="1:8" ht="18" thickBot="1">
      <c r="A32" s="438"/>
      <c r="B32" s="437"/>
      <c r="C32" s="446"/>
      <c r="D32" s="447"/>
      <c r="E32" s="447"/>
      <c r="F32" s="447"/>
      <c r="G32" s="447"/>
      <c r="H32" s="448"/>
    </row>
    <row r="33" spans="1:7" ht="17.25" hidden="1">
      <c r="A33" s="377">
        <f ca="1">TODAY()</f>
        <v>41356</v>
      </c>
      <c r="B33" s="378">
        <f>SUM(C3:C9)/$K$25+SUM(D3:D9)/$K$26+SUM(E3:E9)/$K$27+SUM(F3:F9)/$K$28+SUM(G3:G9)/$K$29+SUM(H3:H9)/$K$30</f>
        <v>0</v>
      </c>
      <c r="C33" s="378">
        <f>SUM(C10:C16)/$K$25+SUM(D10:D16)/$K$26+SUM(E10:E16)/$K$27+SUM(F10:F16)/$K$28+SUM(G10:G16)/$K$29+SUM(H10:H16)/$K$30</f>
        <v>0</v>
      </c>
      <c r="D33" s="378">
        <f>SUM(C17:C23)/$K$25+SUM(D17:D23)/$K$26+SUM(E17:E23)/$K$27+SUM(F17:F23)/$K$28+SUM(G17:G23)/$K$29+SUM(H17:H23)/$K$30</f>
        <v>0</v>
      </c>
      <c r="E33" s="378">
        <f>SUM(C24:C30)/$K$25+SUM(D24:D30)/$K$26+SUM(E24:E30)/$K$27+SUM(F24:F30)/$K$28+SUM(G24:G30)/$K$29+SUM(H24:H30)/$K$30</f>
        <v>0</v>
      </c>
      <c r="F33" s="378"/>
      <c r="G33" s="378"/>
    </row>
    <row r="34" ht="17.25">
      <c r="B34" s="378"/>
    </row>
    <row r="35" ht="18" customHeight="1">
      <c r="I35" s="359"/>
    </row>
    <row r="38" spans="2:7" ht="17.25">
      <c r="B38" s="377"/>
      <c r="C38" s="377"/>
      <c r="E38" s="352"/>
      <c r="F38" s="352"/>
      <c r="G38" s="352"/>
    </row>
    <row r="39" spans="2:7" ht="17.25">
      <c r="B39" s="352"/>
      <c r="E39" s="352"/>
      <c r="F39" s="352"/>
      <c r="G39" s="352"/>
    </row>
    <row r="40" spans="2:7" ht="17.25">
      <c r="B40" s="379"/>
      <c r="E40" s="352"/>
      <c r="F40" s="352"/>
      <c r="G40" s="352"/>
    </row>
    <row r="41" spans="5:7" ht="17.25">
      <c r="E41" s="352"/>
      <c r="F41" s="352"/>
      <c r="G41" s="352"/>
    </row>
    <row r="42" spans="5:7" ht="17.25">
      <c r="E42" s="352"/>
      <c r="F42" s="352"/>
      <c r="G42" s="352"/>
    </row>
    <row r="43" spans="5:7" ht="17.25">
      <c r="E43" s="352"/>
      <c r="F43" s="352"/>
      <c r="G43" s="352"/>
    </row>
    <row r="44" spans="4:7" ht="17.25">
      <c r="D44" s="352"/>
      <c r="E44" s="352"/>
      <c r="F44" s="352"/>
      <c r="G44" s="352"/>
    </row>
    <row r="45" spans="3:7" ht="17.25">
      <c r="C45" s="352"/>
      <c r="D45" s="352"/>
      <c r="E45" s="352"/>
      <c r="F45" s="352"/>
      <c r="G45" s="352"/>
    </row>
    <row r="46" spans="3:7" ht="17.25">
      <c r="C46" s="352"/>
      <c r="D46" s="352"/>
      <c r="E46" s="352"/>
      <c r="F46" s="352"/>
      <c r="G46" s="352"/>
    </row>
    <row r="47" spans="3:7" ht="17.25">
      <c r="C47" s="352"/>
      <c r="D47" s="352"/>
      <c r="E47" s="352"/>
      <c r="F47" s="352"/>
      <c r="G47" s="352"/>
    </row>
    <row r="48" spans="4:7" ht="17.25">
      <c r="D48" s="352"/>
      <c r="E48" s="352"/>
      <c r="F48" s="352"/>
      <c r="G48" s="352"/>
    </row>
  </sheetData>
  <sheetProtection password="A651" sheet="1" selectLockedCells="1"/>
  <mergeCells count="29">
    <mergeCell ref="B31:B32"/>
    <mergeCell ref="A31:A32"/>
    <mergeCell ref="J24:K24"/>
    <mergeCell ref="J3:K3"/>
    <mergeCell ref="J4:K4"/>
    <mergeCell ref="J5:K5"/>
    <mergeCell ref="C31:H32"/>
    <mergeCell ref="J6:K6"/>
    <mergeCell ref="J7:K7"/>
    <mergeCell ref="J8:K8"/>
    <mergeCell ref="J9:K9"/>
    <mergeCell ref="J10:K10"/>
    <mergeCell ref="J11:K11"/>
    <mergeCell ref="J12:K12"/>
    <mergeCell ref="J18:K18"/>
    <mergeCell ref="J13:K13"/>
    <mergeCell ref="J14:K14"/>
    <mergeCell ref="J15:K15"/>
    <mergeCell ref="J16:K16"/>
    <mergeCell ref="A1:A2"/>
    <mergeCell ref="B1:B2"/>
    <mergeCell ref="C1:C2"/>
    <mergeCell ref="D1:D2"/>
    <mergeCell ref="L1:O1"/>
    <mergeCell ref="E1:E2"/>
    <mergeCell ref="H1:H2"/>
    <mergeCell ref="G1:G2"/>
    <mergeCell ref="F1:F2"/>
    <mergeCell ref="J2:K2"/>
  </mergeCells>
  <conditionalFormatting sqref="B31">
    <cfRule type="expression" priority="1" dxfId="9" stopIfTrue="1">
      <formula>$B31=$A$33</formula>
    </cfRule>
  </conditionalFormatting>
  <conditionalFormatting sqref="A3:B29">
    <cfRule type="expression" priority="2" dxfId="12" stopIfTrue="1">
      <formula>$B3&lt;TODAY()</formula>
    </cfRule>
    <cfRule type="expression" priority="3" dxfId="13" stopIfTrue="1">
      <formula>$B3=$A$33</formula>
    </cfRule>
  </conditionalFormatting>
  <conditionalFormatting sqref="A30:B30">
    <cfRule type="expression" priority="4" dxfId="12" stopIfTrue="1">
      <formula>$B30&lt;TODAY()</formula>
    </cfRule>
    <cfRule type="expression" priority="5" dxfId="14" stopIfTrue="1">
      <formula>$B30=$A$33</formula>
    </cfRule>
  </conditionalFormatting>
  <printOptions horizontalCentered="1" verticalCentered="1"/>
  <pageMargins left="0" right="0" top="0" bottom="0" header="0" footer="0"/>
  <pageSetup fitToHeight="1" fitToWidth="1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A6998"/>
  <sheetViews>
    <sheetView showGridLines="0" showRowColHeaders="0" showZeros="0" showOutlineSymbols="0" zoomScale="95" zoomScaleNormal="95" workbookViewId="0" topLeftCell="A1">
      <pane ySplit="12" topLeftCell="BM13" activePane="bottomLeft" state="frozen"/>
      <selection pane="topLeft" activeCell="A1" sqref="A1"/>
      <selection pane="bottomLeft" activeCell="A14" sqref="A14:A44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5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Database'!B4," - ",'Food Database'!C4," / ",'Food Database'!B5," - ",'Food Database'!C5," / ",'Food Database'!B6," - ",'Food Database'!C6," / ",'Food Database'!B7," - ",'Food Database'!C7," / ",'Food Database'!B8," - ",'Food Database'!C8)</f>
        <v>1 - Almond Milk / 2 - Almonds / 3 - Apple / 4 - Baked Potato / 5 - Banana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51.620000000000005</v>
      </c>
      <c r="K3" s="124">
        <f>E33</f>
        <v>33.345000000000006</v>
      </c>
      <c r="L3" s="124">
        <f>F33</f>
        <v>31.520000000000007</v>
      </c>
      <c r="M3" s="124">
        <f>I20</f>
        <v>623.5400000000001</v>
      </c>
    </row>
    <row r="4" spans="2:13" ht="15">
      <c r="B4" s="451" t="str">
        <f>CONCATENATE('Food Database'!B9," - ",'Food Database'!C9," / ",'Food Database'!B10," - ",'Food Database'!C10," / ",'Food Database'!B11," - ",'Food Database'!C11," / ",'Food Database'!B12," - ",'Food Database'!C12," / ",'Food Database'!B13," - ",'Food Database'!C13)</f>
        <v>6 - Beans (reduced salt) / 7 - Chicken breast / 8 - Chicken breast (raw) / 9 - Diced Onion / 10 - Egg 56g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Database'!B14," - ",'Food Database'!C14," / ",'Food Database'!B15," - ",'Food Database'!C15," / ",'Food Database'!B16," - ",'Food Database'!C16," / ",'Food Database'!B17," - ",'Food Database'!C17," / ",'Food Database'!B18," - ",'Food Database'!C18)</f>
        <v>11 - GF Pasta / 12 - Hellmanns Full fat mayo / 13 - Lactose Free Milk Semi / 14 - Mccains oven chips (frozen) / 15 - Micellar Caseine (IronS)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69.68090301003345</v>
      </c>
      <c r="K5" s="124">
        <f>E97</f>
        <v>61.307809364548504</v>
      </c>
      <c r="L5" s="124">
        <f>F97</f>
        <v>4.599448160535117</v>
      </c>
      <c r="M5" s="124">
        <f>I84</f>
        <v>565.3498829431438</v>
      </c>
    </row>
    <row r="6" spans="2:13" ht="15">
      <c r="B6" s="451" t="str">
        <f>CONCATENATE('Food Database'!B19," - ",'Food Database'!C19," / ",'Food Database'!B20," - ",'Food Database'!C20," / ",'Food Database'!B21," - ",'Food Database'!C21," / ",'Food Database'!B22," - ",'Food Database'!C22," / ",'Food Database'!B23," - ",'Food Database'!C23)</f>
        <v>16 - Minus 1 Egg Yolk / 17 - Protein Powder / 18 - Oats / 19 - Organic Crunchy PB / 20 - Peanut Butter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Database'!B24," - ",'Food Database'!C24," / ",'Food Database'!B25," - ",'Food Database'!C25," / ",'Food Database'!B26," - ",'Food Database'!C26," / ",'Food Database'!B27," - ",'Food Database'!C27," / ",'Food Database'!B28," - ",'Food Database'!C28)</f>
        <v>21 - Peas / 22 - Protein Powder (IronS) / 23 - Rapeseed Oil / 24 - Rice (uncooked weight) / 25 - Rump Steak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Database'!B29," - ",'Food Database'!C29," / ",'Food Database'!B30," - ",'Food Database'!C30," / ",'Food Database'!B31," - ",'Food Database'!C31," / ",'Food Database'!B32," - ",'Food Database'!C32," / ",'Food Database'!B33," - ",'Food Database'!C33)</f>
        <v>26 - Grated cheese light / 27 - low fat mayo / 28 - organic honey / 29 - Tomato sauce / 30 - Dried Mixed Fruit</v>
      </c>
      <c r="C8" s="451"/>
      <c r="D8" s="451"/>
      <c r="E8" s="451"/>
      <c r="F8" s="451"/>
      <c r="G8" s="451"/>
      <c r="H8" s="451"/>
      <c r="I8" s="147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Database'!B34," - ",'Food Database'!C34," / ",'Food Database'!B35," - ",'Food Database'!C35," / ",'Food Database'!B36," - ",'Food Database'!C36," / ",'Food Database'!B37," - ",'Food Database'!C37," / ",'Food Database'!B38," - ",'Food Database'!C38)</f>
        <v>31 - Broccoli, Boiled / 32 -  / 33 -  / 34 -  / 35 -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214.64879189892233</v>
      </c>
      <c r="K9" s="136">
        <f>SUM(K3:K8)</f>
        <v>221.8994760312152</v>
      </c>
      <c r="L9" s="136">
        <f>SUM(L3:L8)</f>
        <v>68.26889260497957</v>
      </c>
      <c r="M9" s="136">
        <f>SUM(M3:M8)</f>
        <v>2360.613105165366</v>
      </c>
    </row>
    <row r="10" spans="9:18" ht="15.75">
      <c r="I10" s="116"/>
      <c r="J10" s="135">
        <f>IF(ISERROR(SUM(J9*4)/SUM($J$9*4+$K$9*4+$L$9*9)),"0",(J9*4)/SUM(J9*4+K9*4+L9*9))</f>
        <v>0.36371702153010915</v>
      </c>
      <c r="K10" s="135">
        <f>IF(ISERROR(SUM(K9*4)/SUM($J$9*4+$K$9*4+$L$9*9)),"0",(K9*4)/SUM(J9*4+K9*4+L9*9))</f>
        <v>0.37600312485882037</v>
      </c>
      <c r="L10" s="135">
        <f>IF(ISERROR(SUM(L9*9)/SUM($J$9*4+$K$9*4+$L$9*9)),"0",(L9*9)/SUM(J9*4+K9*4+L9*9))</f>
        <v>0.26027985361107053</v>
      </c>
      <c r="M10" s="140"/>
      <c r="N10" s="125"/>
      <c r="O10" s="125"/>
      <c r="P10" s="125"/>
      <c r="Q10" s="125"/>
      <c r="R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Day1</v>
      </c>
      <c r="D14" s="115" t="s">
        <v>46</v>
      </c>
      <c r="E14" s="130">
        <f>Totals!E5-M9</f>
        <v>139.38689483463395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L16" s="131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0.33114154665298134</v>
      </c>
      <c r="J17" s="142" t="str">
        <f>CONCATENATE(ROUND(D33,1)," ","g")</f>
        <v>51.6 g</v>
      </c>
      <c r="K17" s="132"/>
      <c r="L17" s="131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0.21390768836000898</v>
      </c>
      <c r="J18" s="142" t="str">
        <f>CONCATENATE(ROUND(E33,1)," ","g")</f>
        <v>33.3 g</v>
      </c>
      <c r="K18" s="132"/>
      <c r="L18" s="131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.75">
      <c r="A19" s="449"/>
      <c r="B19" s="450" t="str">
        <f>B38</f>
        <v>Egg 56g</v>
      </c>
      <c r="C19" s="458">
        <v>5</v>
      </c>
      <c r="D19" s="457">
        <f>SUM(C19*(D38/C38))</f>
        <v>36.4</v>
      </c>
      <c r="E19" s="457">
        <f>SUM(C19*(E38/C38))</f>
        <v>2.8000000000000003</v>
      </c>
      <c r="F19" s="457">
        <f>SUM(C19*(F38/C38))</f>
        <v>28</v>
      </c>
      <c r="H19" s="35" t="s">
        <v>72</v>
      </c>
      <c r="I19" s="25">
        <f>IF(ISERROR(SUM(F33*9)/SUM(D33*4+E33*4+F33*9)),0,SUM(F33*9)/SUM(D33*4+E33*4+F33*9))</f>
        <v>0.4549507649870097</v>
      </c>
      <c r="J19" s="142" t="str">
        <f>CONCATENATE(ROUND(F33,1)," ","g")</f>
        <v>31.5 g</v>
      </c>
      <c r="K19" s="133"/>
      <c r="L19" s="133"/>
      <c r="M19" s="120"/>
      <c r="N19" s="120"/>
      <c r="O19" s="120"/>
      <c r="P19" s="120"/>
      <c r="Q19" s="120"/>
    </row>
    <row r="20" spans="1:21" ht="15.7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623.5400000000001</v>
      </c>
      <c r="J20" s="120"/>
      <c r="L20" s="133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Minus 1 Egg Yolk</v>
      </c>
      <c r="C27" s="458">
        <v>2</v>
      </c>
      <c r="D27" s="457">
        <f>SUM(C27*(D42/C42))</f>
        <v>-5.4</v>
      </c>
      <c r="E27" s="457">
        <f>SUM(C27*(E42/C42))</f>
        <v>-1.22</v>
      </c>
      <c r="F27" s="457">
        <f>SUM(C27*(F42/C42))</f>
        <v>-9.02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 t="str">
        <f>B43</f>
        <v>Diced Onion</v>
      </c>
      <c r="C29" s="458">
        <v>50</v>
      </c>
      <c r="D29" s="457">
        <f>SUM(C29*(D43/C43))</f>
        <v>0.6</v>
      </c>
      <c r="E29" s="457">
        <f>SUM(C29*(E43/C43))</f>
        <v>3.95</v>
      </c>
      <c r="F29" s="457">
        <f>SUM(C29*(F43/C43))</f>
        <v>0.1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51.620000000000005</v>
      </c>
      <c r="E33" s="455">
        <f>SUM(E17:E32)</f>
        <v>33.345000000000006</v>
      </c>
      <c r="F33" s="455">
        <f>SUM(F17:F32)</f>
        <v>31.520000000000007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49</v>
      </c>
      <c r="B42" s="28" t="str">
        <f>VLOOKUP(A:A,'Food Database'!B:C,2,FALSE)</f>
        <v>Minus 1 Egg Yolk</v>
      </c>
      <c r="C42" s="24">
        <f>VLOOKUP(A:A,'Food Database'!B:E,4,FALSE)</f>
        <v>1</v>
      </c>
      <c r="D42" s="29">
        <f>VLOOKUP(A:A,'Food Database'!B:F,5,FALSE)</f>
        <v>-2.7</v>
      </c>
      <c r="E42" s="29">
        <f>VLOOKUP(A:A,'Food Database'!B:G,6,FALSE)</f>
        <v>-0.61</v>
      </c>
      <c r="F42" s="29">
        <f>VLOOKUP(A:A,'Food Database'!B:H,7,FALSE)</f>
        <v>-4.51</v>
      </c>
      <c r="H42" s="24" t="str">
        <f>VLOOKUP(A:A,'Food Database'!B:H,3,FALSE)</f>
        <v>One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>
        <v>9</v>
      </c>
      <c r="B43" s="28" t="str">
        <f>VLOOKUP(A:A,'Food Database'!B:C,2,FALSE)</f>
        <v>Diced Onion</v>
      </c>
      <c r="C43" s="24">
        <f>VLOOKUP(A:A,'Food Database'!B:E,4,FALSE)</f>
        <v>100</v>
      </c>
      <c r="D43" s="29">
        <f>VLOOKUP(A:A,'Food Database'!B:F,5,FALSE)</f>
        <v>1.2</v>
      </c>
      <c r="E43" s="29">
        <f>VLOOKUP(A:A,'Food Database'!B:G,6,FALSE)</f>
        <v>7.9</v>
      </c>
      <c r="F43" s="29">
        <f>VLOOKUP(A:A,'Food Database'!B:H,7,FALSE)</f>
        <v>0.2</v>
      </c>
      <c r="H43" s="24" t="str">
        <f>VLOOKUP(A:A,'Food Database'!B:H,3,FALSE)</f>
        <v>Grams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Day1</v>
      </c>
      <c r="D46" s="115" t="str">
        <f>D14</f>
        <v>Calories left to use =</v>
      </c>
      <c r="E46" s="130">
        <f>E14</f>
        <v>139.38689483463395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Day1</v>
      </c>
      <c r="D78" s="115" t="str">
        <f>D46</f>
        <v>Calories left to use =</v>
      </c>
      <c r="E78" s="130">
        <f>E46</f>
        <v>139.38689483463395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Chicken breast (raw)</v>
      </c>
      <c r="C81" s="461">
        <v>250</v>
      </c>
      <c r="D81" s="455">
        <f>SUM(C81*(D101/C101))</f>
        <v>57.725</v>
      </c>
      <c r="E81" s="455">
        <f>SUM(C81*(E101/C101))</f>
        <v>0</v>
      </c>
      <c r="F81" s="455">
        <f>SUM(C81*(F101/C101))</f>
        <v>3.1</v>
      </c>
      <c r="H81" s="35" t="s">
        <v>70</v>
      </c>
      <c r="I81" s="25">
        <f>IF(ISERROR(SUM(D97*4)/SUM(D97*4+E97*4+F97*9)),0,SUM(D97*4)/SUM(D97*4+E97*4+F97*9))</f>
        <v>0.49301082471111873</v>
      </c>
      <c r="J81" s="142" t="str">
        <f>CONCATENATE(ROUND(D97,1)," ","g")</f>
        <v>69.7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0.4337689718472206</v>
      </c>
      <c r="J82" s="142" t="str">
        <f>CONCATENATE(ROUND(E97,1)," ","g")</f>
        <v>61.3 g</v>
      </c>
    </row>
    <row r="83" spans="1:10" ht="15">
      <c r="A83" s="449"/>
      <c r="B83" s="450" t="str">
        <f>B102</f>
        <v>Baked Potato</v>
      </c>
      <c r="C83" s="458">
        <v>250</v>
      </c>
      <c r="D83" s="457">
        <f>SUM(C83*(D102/C102))</f>
        <v>6.270903010033445</v>
      </c>
      <c r="E83" s="457">
        <f>SUM(C83*(E102/C102))</f>
        <v>52.8428093645485</v>
      </c>
      <c r="F83" s="457">
        <f>SUM(C83*(F102/C102))</f>
        <v>0.3344481605351171</v>
      </c>
      <c r="H83" s="35" t="s">
        <v>72</v>
      </c>
      <c r="I83" s="25">
        <f>IF(ISERROR(SUM(F97*9)/SUM(D97*4+E97*4+F97*9)),0,SUM(F97*9)/SUM(D97*4+E97*4+F97*9))</f>
        <v>0.0732202034416607</v>
      </c>
      <c r="J83" s="142" t="str">
        <f>CONCATENATE(ROUND(F97,1)," ","g")</f>
        <v>4.6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565.3498829431438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69.68090301003345</v>
      </c>
      <c r="E97" s="455">
        <f>SUM(E81:E96)</f>
        <v>61.307809364548504</v>
      </c>
      <c r="F97" s="455">
        <f>SUM(F81:F96)</f>
        <v>4.599448160535117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31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Day1</v>
      </c>
      <c r="D110" s="115" t="str">
        <f>D78</f>
        <v>Calories left to use =</v>
      </c>
      <c r="E110" s="130">
        <f>E78</f>
        <v>139.38689483463395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Day1</v>
      </c>
      <c r="D142" s="115" t="str">
        <f>D110</f>
        <v>Calories left to use =</v>
      </c>
      <c r="E142" s="130">
        <f>E110</f>
        <v>139.38689483463395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Day1</v>
      </c>
      <c r="D174" s="115" t="str">
        <f>D142</f>
        <v>Calories left to use =</v>
      </c>
      <c r="E174" s="130">
        <f>E142</f>
        <v>139.38689483463395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97" ht="15">
      <c r="GA6997" s="19" t="s">
        <v>32</v>
      </c>
    </row>
    <row r="6998" ht="15">
      <c r="GA6998" s="19" t="s">
        <v>65</v>
      </c>
    </row>
  </sheetData>
  <sheetProtection password="D348" sheet="1" objects="1" scenarios="1" selectLockedCells="1"/>
  <mergeCells count="326">
    <mergeCell ref="A12:F12"/>
    <mergeCell ref="B9:H9"/>
    <mergeCell ref="B8:H8"/>
    <mergeCell ref="B7:H7"/>
    <mergeCell ref="B6:H6"/>
    <mergeCell ref="B4:H4"/>
    <mergeCell ref="B5:H5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F97:F98"/>
    <mergeCell ref="G33:G34"/>
    <mergeCell ref="G65:G66"/>
    <mergeCell ref="E53:E54"/>
    <mergeCell ref="F53:F54"/>
    <mergeCell ref="E49:E50"/>
    <mergeCell ref="F49:F50"/>
    <mergeCell ref="E51:E52"/>
    <mergeCell ref="F51:F52"/>
    <mergeCell ref="E55:E56"/>
    <mergeCell ref="F55:F56"/>
    <mergeCell ref="C65:C66"/>
    <mergeCell ref="D65:D66"/>
    <mergeCell ref="E65:E66"/>
    <mergeCell ref="F65:F66"/>
    <mergeCell ref="C33:C34"/>
    <mergeCell ref="D33:D34"/>
    <mergeCell ref="E33:E34"/>
    <mergeCell ref="F33:F34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D19:D20"/>
    <mergeCell ref="E19:E20"/>
    <mergeCell ref="F19:F20"/>
    <mergeCell ref="F23:F24"/>
    <mergeCell ref="D23:D24"/>
    <mergeCell ref="F21:F22"/>
    <mergeCell ref="A21:A22"/>
    <mergeCell ref="B21:B22"/>
    <mergeCell ref="C21:C22"/>
    <mergeCell ref="A23:A24"/>
    <mergeCell ref="B23:B24"/>
    <mergeCell ref="C23:C24"/>
    <mergeCell ref="B25:B26"/>
    <mergeCell ref="C25:C26"/>
    <mergeCell ref="D25:D26"/>
    <mergeCell ref="E21:E22"/>
    <mergeCell ref="D21:D22"/>
    <mergeCell ref="E23:E24"/>
    <mergeCell ref="E25:E26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A55:A56"/>
    <mergeCell ref="B55:B56"/>
    <mergeCell ref="C55:C56"/>
    <mergeCell ref="D55:D56"/>
    <mergeCell ref="C53:C54"/>
    <mergeCell ref="D53:D54"/>
    <mergeCell ref="A57:A58"/>
    <mergeCell ref="B57:B58"/>
    <mergeCell ref="C57:C58"/>
    <mergeCell ref="D57:D58"/>
    <mergeCell ref="E61:E62"/>
    <mergeCell ref="F61:F62"/>
    <mergeCell ref="A59:A60"/>
    <mergeCell ref="B59:B60"/>
    <mergeCell ref="C59:C60"/>
    <mergeCell ref="D59:D60"/>
    <mergeCell ref="E57:E58"/>
    <mergeCell ref="F57:F58"/>
    <mergeCell ref="E59:E60"/>
    <mergeCell ref="F59:F60"/>
    <mergeCell ref="E63:E64"/>
    <mergeCell ref="F63:F64"/>
    <mergeCell ref="A61:A62"/>
    <mergeCell ref="B61:B62"/>
    <mergeCell ref="A63:A64"/>
    <mergeCell ref="B63:B64"/>
    <mergeCell ref="C63:C64"/>
    <mergeCell ref="D63:D64"/>
    <mergeCell ref="C61:C62"/>
    <mergeCell ref="D61:D62"/>
    <mergeCell ref="A81:A82"/>
    <mergeCell ref="B81:B82"/>
    <mergeCell ref="C81:C82"/>
    <mergeCell ref="D81:D82"/>
    <mergeCell ref="E85:E86"/>
    <mergeCell ref="F85:F86"/>
    <mergeCell ref="A83:A84"/>
    <mergeCell ref="B83:B84"/>
    <mergeCell ref="C83:C84"/>
    <mergeCell ref="D83:D84"/>
    <mergeCell ref="E81:E82"/>
    <mergeCell ref="F81:F82"/>
    <mergeCell ref="E83:E84"/>
    <mergeCell ref="F83:F84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E89:E90"/>
    <mergeCell ref="E95:E96"/>
    <mergeCell ref="F89:F90"/>
    <mergeCell ref="E91:E92"/>
    <mergeCell ref="F91:F92"/>
    <mergeCell ref="E93:E94"/>
    <mergeCell ref="F93:F94"/>
    <mergeCell ref="F95:F96"/>
    <mergeCell ref="A93:A94"/>
    <mergeCell ref="B93:B94"/>
    <mergeCell ref="A95:A96"/>
    <mergeCell ref="B95:B96"/>
    <mergeCell ref="C95:C96"/>
    <mergeCell ref="D95:D96"/>
    <mergeCell ref="C93:C94"/>
    <mergeCell ref="D93:D94"/>
    <mergeCell ref="A113:A114"/>
    <mergeCell ref="B113:B114"/>
    <mergeCell ref="C113:C114"/>
    <mergeCell ref="D113:D114"/>
    <mergeCell ref="E117:E118"/>
    <mergeCell ref="F117:F118"/>
    <mergeCell ref="A115:A116"/>
    <mergeCell ref="B115:B116"/>
    <mergeCell ref="C115:C116"/>
    <mergeCell ref="D115:D116"/>
    <mergeCell ref="E113:E114"/>
    <mergeCell ref="F113:F114"/>
    <mergeCell ref="E115:E116"/>
    <mergeCell ref="F115:F116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A121:A122"/>
    <mergeCell ref="B121:B122"/>
    <mergeCell ref="C121:C122"/>
    <mergeCell ref="D121:D122"/>
    <mergeCell ref="E125:E126"/>
    <mergeCell ref="F125:F126"/>
    <mergeCell ref="A123:A124"/>
    <mergeCell ref="B123:B124"/>
    <mergeCell ref="C123:C124"/>
    <mergeCell ref="D123:D124"/>
    <mergeCell ref="E121:E122"/>
    <mergeCell ref="F121:F122"/>
    <mergeCell ref="E123:E124"/>
    <mergeCell ref="F123:F124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A145:A146"/>
    <mergeCell ref="B145:B146"/>
    <mergeCell ref="C145:C146"/>
    <mergeCell ref="D145:D146"/>
    <mergeCell ref="E145:E146"/>
    <mergeCell ref="F145:F146"/>
    <mergeCell ref="E149:E150"/>
    <mergeCell ref="F149:F150"/>
    <mergeCell ref="D149:D150"/>
    <mergeCell ref="D147:D148"/>
    <mergeCell ref="E147:E148"/>
    <mergeCell ref="F147:F148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1:E152"/>
    <mergeCell ref="F151:F152"/>
    <mergeCell ref="E153:E154"/>
    <mergeCell ref="F153:F154"/>
    <mergeCell ref="E157:E158"/>
    <mergeCell ref="F157:F158"/>
    <mergeCell ref="A155:A156"/>
    <mergeCell ref="B155:B156"/>
    <mergeCell ref="A157:A158"/>
    <mergeCell ref="B157:B158"/>
    <mergeCell ref="C157:C158"/>
    <mergeCell ref="D157:D158"/>
    <mergeCell ref="C155:C156"/>
    <mergeCell ref="D155:D156"/>
    <mergeCell ref="A159:A160"/>
    <mergeCell ref="B159:B160"/>
    <mergeCell ref="C159:C160"/>
    <mergeCell ref="D159:D160"/>
    <mergeCell ref="E159:E160"/>
    <mergeCell ref="F159:F160"/>
    <mergeCell ref="C161:C162"/>
    <mergeCell ref="D161:D162"/>
    <mergeCell ref="E161:E162"/>
    <mergeCell ref="F161:F162"/>
    <mergeCell ref="A177:A178"/>
    <mergeCell ref="B177:B178"/>
    <mergeCell ref="C177:C178"/>
    <mergeCell ref="D177:D178"/>
    <mergeCell ref="E181:E182"/>
    <mergeCell ref="F181:F182"/>
    <mergeCell ref="A179:A180"/>
    <mergeCell ref="B179:B180"/>
    <mergeCell ref="C179:C180"/>
    <mergeCell ref="D179:D180"/>
    <mergeCell ref="E177:E178"/>
    <mergeCell ref="F177:F178"/>
    <mergeCell ref="E179:E180"/>
    <mergeCell ref="F179:F180"/>
    <mergeCell ref="E183:E184"/>
    <mergeCell ref="F183:F184"/>
    <mergeCell ref="A181:A182"/>
    <mergeCell ref="B181:B182"/>
    <mergeCell ref="A183:A184"/>
    <mergeCell ref="B183:B184"/>
    <mergeCell ref="C183:C184"/>
    <mergeCell ref="D183:D184"/>
    <mergeCell ref="C181:C182"/>
    <mergeCell ref="D181:D182"/>
    <mergeCell ref="A185:A186"/>
    <mergeCell ref="B185:B186"/>
    <mergeCell ref="C185:C186"/>
    <mergeCell ref="D185:D186"/>
    <mergeCell ref="E189:E190"/>
    <mergeCell ref="F189:F190"/>
    <mergeCell ref="A187:A188"/>
    <mergeCell ref="B187:B188"/>
    <mergeCell ref="C187:C188"/>
    <mergeCell ref="D187:D188"/>
    <mergeCell ref="A189:A190"/>
    <mergeCell ref="B189:B190"/>
    <mergeCell ref="E185:E186"/>
    <mergeCell ref="F185:F186"/>
    <mergeCell ref="E187:E188"/>
    <mergeCell ref="F187:F188"/>
    <mergeCell ref="C191:C192"/>
    <mergeCell ref="D191:D192"/>
    <mergeCell ref="C189:C190"/>
    <mergeCell ref="D189:D190"/>
    <mergeCell ref="A191:A192"/>
    <mergeCell ref="B191:B192"/>
    <mergeCell ref="B3:H3"/>
    <mergeCell ref="G193:G194"/>
    <mergeCell ref="C193:C194"/>
    <mergeCell ref="D193:D194"/>
    <mergeCell ref="E193:E194"/>
    <mergeCell ref="F193:F194"/>
    <mergeCell ref="E191:E192"/>
    <mergeCell ref="F191:F192"/>
  </mergeCells>
  <conditionalFormatting sqref="B3:B9">
    <cfRule type="expression" priority="1" dxfId="15" stopIfTrue="1">
      <formula>$L$3="Yes"</formula>
    </cfRule>
  </conditionalFormatting>
  <conditionalFormatting sqref="B11">
    <cfRule type="expression" priority="2" dxfId="15" stopIfTrue="1">
      <formula>#REF!="Yes"</formula>
    </cfRule>
  </conditionalFormatting>
  <conditionalFormatting sqref="I11">
    <cfRule type="expression" priority="3" dxfId="16" stopIfTrue="1">
      <formula>$J$2="Fast Day"</formula>
    </cfRule>
    <cfRule type="expression" priority="4" dxfId="16" stopIfTrue="1">
      <formula>$J$2="Cheat Day"</formula>
    </cfRule>
    <cfRule type="expression" priority="5" dxfId="15" stopIfTrue="1">
      <formula>$J$2="Depletion Day"</formula>
    </cfRule>
  </conditionalFormatting>
  <conditionalFormatting sqref="H11">
    <cfRule type="expression" priority="6" dxfId="16" stopIfTrue="1">
      <formula>$J$2="Cheat Day"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3" location="CheatBF" display="CheatBF"/>
    <hyperlink ref="I4" location="CheatMM" display="CheatMM"/>
    <hyperlink ref="I5" location="CheatL" display="CheatL"/>
    <hyperlink ref="I7" location="CheatD" display="CheatD"/>
    <hyperlink ref="I6" location="CheatEE" display="CheatEE"/>
    <hyperlink ref="I8" location="Bed" display="Pre Bed"/>
    <hyperlink ref="B1" location="One" display="DATABASE REFERENCES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  <ignoredErrors>
    <ignoredError sqref="A12 I8 I3 I7 I4 I5:I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GA6998"/>
  <sheetViews>
    <sheetView showGridLines="0" showRowColHeaders="0" showZeros="0" showOutlineSymbols="0" zoomScale="95" zoomScaleNormal="95" workbookViewId="0" topLeftCell="A1">
      <pane ySplit="12" topLeftCell="BM14" activePane="bottomLeft" state="frozen"/>
      <selection pane="topLeft" activeCell="A1" sqref="A1"/>
      <selection pane="bottomLeft" activeCell="C17" sqref="C17:C18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5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Database'!B40," - ",'Food Database'!C40," / ",'Food Database'!B41," - ",'Food Database'!C41," / ",'Food Database'!B42," - ",'Food Database'!C42," / ",'Food Database'!B43," - ",'Food Database'!C43," / ",'Food Database'!B44," - ",'Food Database'!C44)</f>
        <v>36 - Apple / 37 - Baked Potato / 38 - Banana / 39 - Beans (reduced salt) / 40 -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51.620000000000005</v>
      </c>
      <c r="K3" s="124">
        <f>E33</f>
        <v>33.345000000000006</v>
      </c>
      <c r="L3" s="124">
        <f>F33</f>
        <v>31.520000000000007</v>
      </c>
      <c r="M3" s="124">
        <f>I20</f>
        <v>623.5400000000001</v>
      </c>
    </row>
    <row r="4" spans="2:13" ht="15">
      <c r="B4" s="451" t="str">
        <f>CONCATENATE('Food Database'!B45," - ",'Food Database'!C45," / ",'Food Database'!B46," - ",'Food Database'!C46," / ",'Food Database'!B47," - ",'Food Database'!C47," / ",'Food Database'!B48," - ",'Food Database'!C48," / ",'Food Database'!B49," - ",'Food Database'!C49)</f>
        <v>41 - Chicken breast (raw) / 42 - Diced Onion / 43 - Egg 56g / 44 - GF Pasta / 45 -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Database'!B50," - ",'Food Database'!C50," / ",'Food Database'!B51," - ",'Food Database'!C51," / ",'Food Database'!B52," - ",'Food Database'!C52," / ",'Food Database'!B53," - ",'Food Database'!C53," / ",'Food Database'!B54," - ",'Food Database'!C54)</f>
        <v>46 - Lactose Free Milk Semi / 47 - Mccains oven chips (frozen) / 48 - Micellar Caseine (IronS) / 49 - Minus 1 Egg Yolk / 50 -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65.70172240802675</v>
      </c>
      <c r="K5" s="124">
        <f>E97</f>
        <v>50.73924749163881</v>
      </c>
      <c r="L5" s="124">
        <f>F97</f>
        <v>11.682558528428093</v>
      </c>
      <c r="M5" s="124">
        <f>I84</f>
        <v>570.9069063545151</v>
      </c>
    </row>
    <row r="6" spans="2:13" ht="15">
      <c r="B6" s="451" t="str">
        <f>CONCATENATE('Food Database'!B55," - ",'Food Database'!C55," / ",'Food Database'!B56," - ",'Food Database'!C56," / ",'Food Database'!B57," - ",'Food Database'!C57," / ",'Food Database'!B58," - ",'Food Database'!C58," / ",'Food Database'!B59," - ",'Food Database'!C59)</f>
        <v>51 - Oats / 52 - Organic Crunchy PB / 53 - Peanut Butter / 54 - Peas / 55 -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Database'!B60," - ",'Food Database'!C60," / ",'Food Database'!B61," - ",'Food Database'!C61," / ",'Food Database'!B62," - ",'Food Database'!C62," / ",'Food Database'!B63," - ",'Food Database'!C63," / ",'Food Database'!B64," - ",'Food Database'!C64)</f>
        <v>56 - Rapeseed Oil / 57 - Rice (uncooked weight) / 58 - Rump Steak / 59 - Grated cheese light / 60 -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Database'!B65," - ",'Food Database'!C65," / ",'Food Database'!B66," - ",'Food Database'!C66," / ",'Food Database'!B67," - ",'Food Database'!C67," / ",'Food Database'!B68," - ",'Food Database'!C68," / ",'Food Database'!B69," - ",'Food Database'!C69)</f>
        <v>61 - organic honey / 62 - Tomato sauce / 63 - Dried Mixed Fruit / 64 - Broccoli, Boiled / 65 - </v>
      </c>
      <c r="C8" s="451"/>
      <c r="D8" s="451"/>
      <c r="E8" s="451"/>
      <c r="F8" s="451"/>
      <c r="G8" s="451"/>
      <c r="H8" s="451"/>
      <c r="I8" s="147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Database'!B70," - ",'Food Database'!C70," / ",'Food Database'!B71," - ",'Food Database'!C71," / ",'Food Database'!B72," - ",'Food Database'!C72," / ",'Food Database'!B73," - ",'Food Database'!C73," / ",'Food Database'!B74," - ",'Food Database'!C74)</f>
        <v>66 -  / 67 -  / 68 -  / 69 -  / 70 -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210.66961129691563</v>
      </c>
      <c r="K9" s="136">
        <f>SUM(K3:K8)</f>
        <v>211.3309141583055</v>
      </c>
      <c r="L9" s="136">
        <f>SUM(L3:L8)</f>
        <v>75.35200297287254</v>
      </c>
      <c r="M9" s="136">
        <f>SUM(M3:M8)</f>
        <v>2366.170128576737</v>
      </c>
    </row>
    <row r="10" spans="9:15" ht="15.75">
      <c r="I10" s="116"/>
      <c r="J10" s="135">
        <f>IF(ISERROR(SUM(J9*4)/SUM($J$9*4+$K$9*4+$L$9*9)),"0",(J9*4)/SUM(J9*4+K9*4+L9*9))</f>
        <v>0.35613603392691695</v>
      </c>
      <c r="K10" s="135">
        <f>IF(ISERROR(SUM(K9*4)/SUM($J$9*4+$K$9*4+$L$9*9)),"0",(K9*4)/SUM(J9*4+K9*4+L9*9))</f>
        <v>0.357253963450924</v>
      </c>
      <c r="L10" s="135">
        <f>IF(ISERROR(SUM(L9*9)/SUM($J$9*4+$K$9*4+$L$9*9)),"0",(L9*9)/SUM(J9*4+K9*4+L9*9))</f>
        <v>0.2866100026221589</v>
      </c>
      <c r="M10" s="125"/>
      <c r="N10" s="125"/>
      <c r="O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Day2</v>
      </c>
      <c r="D14" s="115" t="s">
        <v>46</v>
      </c>
      <c r="E14" s="130">
        <f>Totals!E5-M9</f>
        <v>133.82987142326283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0.33114154665298134</v>
      </c>
      <c r="J17" s="142" t="str">
        <f>CONCATENATE(ROUND(D33,1)," ","g")</f>
        <v>51.6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0.21390768836000898</v>
      </c>
      <c r="J18" s="142" t="str">
        <f>CONCATENATE(ROUND(E33,1)," ","g")</f>
        <v>33.3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">
      <c r="A19" s="449"/>
      <c r="B19" s="450" t="str">
        <f>B38</f>
        <v>Egg 56g</v>
      </c>
      <c r="C19" s="458">
        <v>5</v>
      </c>
      <c r="D19" s="457">
        <f>SUM(C19*(D38/C38))</f>
        <v>36.4</v>
      </c>
      <c r="E19" s="457">
        <f>SUM(C19*(E38/C38))</f>
        <v>2.8000000000000003</v>
      </c>
      <c r="F19" s="457">
        <f>SUM(C19*(F38/C38))</f>
        <v>28</v>
      </c>
      <c r="H19" s="35" t="s">
        <v>72</v>
      </c>
      <c r="I19" s="25">
        <f>IF(ISERROR(SUM(F33*9)/SUM(D33*4+E33*4+F33*9)),0,SUM(F33*9)/SUM(D33*4+E33*4+F33*9))</f>
        <v>0.4549507649870097</v>
      </c>
      <c r="J19" s="142" t="str">
        <f>CONCATENATE(ROUND(F33,1)," ","g")</f>
        <v>31.5 g</v>
      </c>
      <c r="K19" s="120"/>
      <c r="L19" s="120"/>
      <c r="M19" s="120"/>
      <c r="N19" s="120"/>
      <c r="O19" s="120"/>
      <c r="P19" s="120"/>
      <c r="Q19" s="120"/>
    </row>
    <row r="20" spans="1:21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623.5400000000001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Minus 1 Egg Yolk</v>
      </c>
      <c r="C27" s="458">
        <v>2</v>
      </c>
      <c r="D27" s="457">
        <f>SUM(C27*(D42/C42))</f>
        <v>-5.4</v>
      </c>
      <c r="E27" s="457">
        <f>SUM(C27*(E42/C42))</f>
        <v>-1.22</v>
      </c>
      <c r="F27" s="457">
        <f>SUM(C27*(F42/C42))</f>
        <v>-9.02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 t="str">
        <f>B43</f>
        <v>Diced Onion</v>
      </c>
      <c r="C29" s="458">
        <v>50</v>
      </c>
      <c r="D29" s="457">
        <f>SUM(C29*(D43/C43))</f>
        <v>0.6</v>
      </c>
      <c r="E29" s="457">
        <f>SUM(C29*(E43/C43))</f>
        <v>3.95</v>
      </c>
      <c r="F29" s="457">
        <f>SUM(C29*(F43/C43))</f>
        <v>0.1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51.620000000000005</v>
      </c>
      <c r="E33" s="455">
        <f>SUM(E17:E32)</f>
        <v>33.345000000000006</v>
      </c>
      <c r="F33" s="455">
        <f>SUM(F17:F32)</f>
        <v>31.520000000000007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39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43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56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46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59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49</v>
      </c>
      <c r="B42" s="28" t="str">
        <f>VLOOKUP(A:A,'Food Database'!B:C,2,FALSE)</f>
        <v>Minus 1 Egg Yolk</v>
      </c>
      <c r="C42" s="24">
        <f>VLOOKUP(A:A,'Food Database'!B:E,4,FALSE)</f>
        <v>1</v>
      </c>
      <c r="D42" s="29">
        <f>VLOOKUP(A:A,'Food Database'!B:F,5,FALSE)</f>
        <v>-2.7</v>
      </c>
      <c r="E42" s="29">
        <f>VLOOKUP(A:A,'Food Database'!B:G,6,FALSE)</f>
        <v>-0.61</v>
      </c>
      <c r="F42" s="29">
        <f>VLOOKUP(A:A,'Food Database'!B:H,7,FALSE)</f>
        <v>-4.51</v>
      </c>
      <c r="H42" s="24" t="str">
        <f>VLOOKUP(A:A,'Food Database'!B:H,3,FALSE)</f>
        <v>One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>
        <v>9</v>
      </c>
      <c r="B43" s="28" t="str">
        <f>VLOOKUP(A:A,'Food Database'!B:C,2,FALSE)</f>
        <v>Diced Onion</v>
      </c>
      <c r="C43" s="24">
        <f>VLOOKUP(A:A,'Food Database'!B:E,4,FALSE)</f>
        <v>100</v>
      </c>
      <c r="D43" s="29">
        <f>VLOOKUP(A:A,'Food Database'!B:F,5,FALSE)</f>
        <v>1.2</v>
      </c>
      <c r="E43" s="29">
        <f>VLOOKUP(A:A,'Food Database'!B:G,6,FALSE)</f>
        <v>7.9</v>
      </c>
      <c r="F43" s="29">
        <f>VLOOKUP(A:A,'Food Database'!B:H,7,FALSE)</f>
        <v>0.2</v>
      </c>
      <c r="H43" s="24" t="str">
        <f>VLOOKUP(A:A,'Food Database'!B:H,3,FALSE)</f>
        <v>Grams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Day2</v>
      </c>
      <c r="D46" s="115" t="str">
        <f>D14</f>
        <v>Calories left to use =</v>
      </c>
      <c r="E46" s="130">
        <f>E14</f>
        <v>133.82987142326283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Day2</v>
      </c>
      <c r="D78" s="115" t="str">
        <f>D46</f>
        <v>Calories left to use =</v>
      </c>
      <c r="E78" s="130">
        <f>E46</f>
        <v>133.82987142326283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Rump Steak</v>
      </c>
      <c r="C81" s="461">
        <v>250</v>
      </c>
      <c r="D81" s="455">
        <f>SUM(C81*(D101/C101))</f>
        <v>55</v>
      </c>
      <c r="E81" s="455">
        <f>SUM(C81*(E101/C101))</f>
        <v>0</v>
      </c>
      <c r="F81" s="455">
        <f>SUM(C81*(F101/C101))</f>
        <v>10.249999999999998</v>
      </c>
      <c r="H81" s="35" t="s">
        <v>70</v>
      </c>
      <c r="I81" s="25">
        <f>IF(ISERROR(SUM(D97*4)/SUM(D97*4+E97*4+F97*9)),0,SUM(D97*4)/SUM(D97*4+E97*4+F97*9))</f>
        <v>0.460332300602635</v>
      </c>
      <c r="J81" s="142" t="str">
        <f>CONCATENATE(ROUND(D97,1)," ","g")</f>
        <v>65.7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0.3554992726616717</v>
      </c>
      <c r="J82" s="142" t="str">
        <f>CONCATENATE(ROUND(E97,1)," ","g")</f>
        <v>50.7 g</v>
      </c>
    </row>
    <row r="83" spans="1:10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0.1841684267356933</v>
      </c>
      <c r="J83" s="142" t="str">
        <f>CONCATENATE(ROUND(F97,1)," ","g")</f>
        <v>11.7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570.9069063545151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65.70172240802675</v>
      </c>
      <c r="E97" s="455">
        <f>SUM(E81:E96)</f>
        <v>50.73924749163881</v>
      </c>
      <c r="F97" s="455">
        <f>SUM(F81:F96)</f>
        <v>11.682558528428093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58</v>
      </c>
      <c r="B101" s="28" t="str">
        <f>VLOOKUP(A:A,'Food Database'!B:C,2,FALSE)</f>
        <v>Rump Steak</v>
      </c>
      <c r="C101" s="24">
        <f>VLOOKUP(A:A,'Food Database'!B:E,4,FALSE)</f>
        <v>100</v>
      </c>
      <c r="D101" s="29">
        <f>VLOOKUP(A:A,'Food Database'!B:F,5,FALSE)</f>
        <v>22</v>
      </c>
      <c r="E101" s="29">
        <f>VLOOKUP(A:A,'Food Database'!B:G,6,FALSE)</f>
        <v>0</v>
      </c>
      <c r="F101" s="29">
        <f>VLOOKUP(A:A,'Food Database'!B:H,7,FALSE)</f>
        <v>4.1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64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Day2</v>
      </c>
      <c r="D110" s="115" t="str">
        <f>D78</f>
        <v>Calories left to use =</v>
      </c>
      <c r="E110" s="130">
        <f>E78</f>
        <v>133.82987142326283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Day2</v>
      </c>
      <c r="D142" s="115" t="str">
        <f>D110</f>
        <v>Calories left to use =</v>
      </c>
      <c r="E142" s="130">
        <f>E110</f>
        <v>133.82987142326283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Day2</v>
      </c>
      <c r="D174" s="115" t="str">
        <f>D142</f>
        <v>Calories left to use =</v>
      </c>
      <c r="E174" s="130">
        <f>E142</f>
        <v>133.82987142326283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97" ht="15">
      <c r="GA6997" s="19" t="s">
        <v>32</v>
      </c>
    </row>
    <row r="6998" ht="15">
      <c r="GA6998" s="19" t="s">
        <v>65</v>
      </c>
    </row>
  </sheetData>
  <sheetProtection password="D348" sheet="1" selectLockedCells="1"/>
  <mergeCells count="326">
    <mergeCell ref="A12:F12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F97:F98"/>
    <mergeCell ref="G33:G34"/>
    <mergeCell ref="C65:C66"/>
    <mergeCell ref="D65:D66"/>
    <mergeCell ref="E65:E66"/>
    <mergeCell ref="F65:F66"/>
    <mergeCell ref="G65:G66"/>
    <mergeCell ref="C33:C34"/>
    <mergeCell ref="D33:D34"/>
    <mergeCell ref="E33:E34"/>
    <mergeCell ref="F33:F34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D19:D20"/>
    <mergeCell ref="E19:E20"/>
    <mergeCell ref="F19:F20"/>
    <mergeCell ref="F23:F24"/>
    <mergeCell ref="D23:D24"/>
    <mergeCell ref="F21:F22"/>
    <mergeCell ref="A21:A22"/>
    <mergeCell ref="B21:B22"/>
    <mergeCell ref="C21:C22"/>
    <mergeCell ref="A23:A24"/>
    <mergeCell ref="B23:B24"/>
    <mergeCell ref="C23:C24"/>
    <mergeCell ref="B25:B26"/>
    <mergeCell ref="C25:C26"/>
    <mergeCell ref="D25:D26"/>
    <mergeCell ref="E21:E22"/>
    <mergeCell ref="D21:D22"/>
    <mergeCell ref="E23:E24"/>
    <mergeCell ref="E25:E26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A49:A50"/>
    <mergeCell ref="B49:B50"/>
    <mergeCell ref="C49:C50"/>
    <mergeCell ref="D49:D50"/>
    <mergeCell ref="E53:E54"/>
    <mergeCell ref="F53:F54"/>
    <mergeCell ref="A51:A52"/>
    <mergeCell ref="B51:B52"/>
    <mergeCell ref="C51:C52"/>
    <mergeCell ref="D51:D52"/>
    <mergeCell ref="E49:E50"/>
    <mergeCell ref="F49:F50"/>
    <mergeCell ref="E51:E52"/>
    <mergeCell ref="F51:F52"/>
    <mergeCell ref="E55:E56"/>
    <mergeCell ref="F55:F56"/>
    <mergeCell ref="A53:A54"/>
    <mergeCell ref="B53:B54"/>
    <mergeCell ref="A55:A56"/>
    <mergeCell ref="B55:B56"/>
    <mergeCell ref="C55:C56"/>
    <mergeCell ref="D55:D56"/>
    <mergeCell ref="C53:C54"/>
    <mergeCell ref="D53:D54"/>
    <mergeCell ref="A57:A58"/>
    <mergeCell ref="B57:B58"/>
    <mergeCell ref="C57:C58"/>
    <mergeCell ref="D57:D58"/>
    <mergeCell ref="E61:E62"/>
    <mergeCell ref="F61:F62"/>
    <mergeCell ref="A59:A60"/>
    <mergeCell ref="B59:B60"/>
    <mergeCell ref="C59:C60"/>
    <mergeCell ref="D59:D60"/>
    <mergeCell ref="E57:E58"/>
    <mergeCell ref="F57:F58"/>
    <mergeCell ref="E59:E60"/>
    <mergeCell ref="F59:F60"/>
    <mergeCell ref="E63:E64"/>
    <mergeCell ref="F63:F64"/>
    <mergeCell ref="A61:A62"/>
    <mergeCell ref="B61:B62"/>
    <mergeCell ref="A63:A64"/>
    <mergeCell ref="B63:B64"/>
    <mergeCell ref="C63:C64"/>
    <mergeCell ref="D63:D64"/>
    <mergeCell ref="C61:C62"/>
    <mergeCell ref="D61:D62"/>
    <mergeCell ref="A81:A82"/>
    <mergeCell ref="B81:B82"/>
    <mergeCell ref="C81:C82"/>
    <mergeCell ref="D81:D82"/>
    <mergeCell ref="E85:E86"/>
    <mergeCell ref="F85:F86"/>
    <mergeCell ref="A83:A84"/>
    <mergeCell ref="B83:B84"/>
    <mergeCell ref="C83:C84"/>
    <mergeCell ref="D83:D84"/>
    <mergeCell ref="E81:E82"/>
    <mergeCell ref="F81:F82"/>
    <mergeCell ref="E83:E84"/>
    <mergeCell ref="F83:F84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A89:A90"/>
    <mergeCell ref="B89:B90"/>
    <mergeCell ref="C89:C90"/>
    <mergeCell ref="D89:D90"/>
    <mergeCell ref="A91:A92"/>
    <mergeCell ref="B91:B92"/>
    <mergeCell ref="C91:C92"/>
    <mergeCell ref="D91:D92"/>
    <mergeCell ref="E89:E90"/>
    <mergeCell ref="E95:E96"/>
    <mergeCell ref="F89:F90"/>
    <mergeCell ref="E91:E92"/>
    <mergeCell ref="F91:F92"/>
    <mergeCell ref="E93:E94"/>
    <mergeCell ref="F93:F94"/>
    <mergeCell ref="F95:F96"/>
    <mergeCell ref="A93:A94"/>
    <mergeCell ref="B93:B94"/>
    <mergeCell ref="A95:A96"/>
    <mergeCell ref="B95:B96"/>
    <mergeCell ref="C95:C96"/>
    <mergeCell ref="D95:D96"/>
    <mergeCell ref="C93:C94"/>
    <mergeCell ref="D93:D94"/>
    <mergeCell ref="A113:A114"/>
    <mergeCell ref="B113:B114"/>
    <mergeCell ref="C113:C114"/>
    <mergeCell ref="D113:D114"/>
    <mergeCell ref="E117:E118"/>
    <mergeCell ref="F117:F118"/>
    <mergeCell ref="A115:A116"/>
    <mergeCell ref="B115:B116"/>
    <mergeCell ref="C115:C116"/>
    <mergeCell ref="D115:D116"/>
    <mergeCell ref="E113:E114"/>
    <mergeCell ref="F113:F114"/>
    <mergeCell ref="E115:E116"/>
    <mergeCell ref="F115:F116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A121:A122"/>
    <mergeCell ref="B121:B122"/>
    <mergeCell ref="C121:C122"/>
    <mergeCell ref="D121:D122"/>
    <mergeCell ref="E125:E126"/>
    <mergeCell ref="F125:F126"/>
    <mergeCell ref="A123:A124"/>
    <mergeCell ref="B123:B124"/>
    <mergeCell ref="C123:C124"/>
    <mergeCell ref="D123:D124"/>
    <mergeCell ref="E121:E122"/>
    <mergeCell ref="F121:F122"/>
    <mergeCell ref="E123:E124"/>
    <mergeCell ref="F123:F124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A145:A146"/>
    <mergeCell ref="B145:B146"/>
    <mergeCell ref="C145:C146"/>
    <mergeCell ref="D145:D146"/>
    <mergeCell ref="E145:E146"/>
    <mergeCell ref="F145:F146"/>
    <mergeCell ref="E149:E150"/>
    <mergeCell ref="F149:F150"/>
    <mergeCell ref="D149:D150"/>
    <mergeCell ref="D147:D148"/>
    <mergeCell ref="E147:E148"/>
    <mergeCell ref="F147:F148"/>
    <mergeCell ref="A147:A148"/>
    <mergeCell ref="B147:B148"/>
    <mergeCell ref="C147:C148"/>
    <mergeCell ref="A149:A150"/>
    <mergeCell ref="B149:B150"/>
    <mergeCell ref="C149:C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F151:F152"/>
    <mergeCell ref="E153:E154"/>
    <mergeCell ref="F153:F154"/>
    <mergeCell ref="F155:F156"/>
    <mergeCell ref="C155:C156"/>
    <mergeCell ref="D155:D156"/>
    <mergeCell ref="E155:E156"/>
    <mergeCell ref="E151:E152"/>
    <mergeCell ref="A155:A156"/>
    <mergeCell ref="B155:B156"/>
    <mergeCell ref="A157:A158"/>
    <mergeCell ref="B157:B158"/>
    <mergeCell ref="E157:E158"/>
    <mergeCell ref="F157:F158"/>
    <mergeCell ref="C157:C158"/>
    <mergeCell ref="A159:A160"/>
    <mergeCell ref="B159:B160"/>
    <mergeCell ref="C159:C160"/>
    <mergeCell ref="D159:D160"/>
    <mergeCell ref="D157:D158"/>
    <mergeCell ref="E159:E160"/>
    <mergeCell ref="F159:F160"/>
    <mergeCell ref="C161:C162"/>
    <mergeCell ref="D161:D162"/>
    <mergeCell ref="E161:E162"/>
    <mergeCell ref="F161:F162"/>
    <mergeCell ref="F179:F180"/>
    <mergeCell ref="A191:A192"/>
    <mergeCell ref="B191:B192"/>
    <mergeCell ref="A187:A188"/>
    <mergeCell ref="B187:B188"/>
    <mergeCell ref="C183:C184"/>
    <mergeCell ref="D183:D184"/>
    <mergeCell ref="D179:D180"/>
    <mergeCell ref="E179:E180"/>
    <mergeCell ref="E181:E182"/>
    <mergeCell ref="A179:A180"/>
    <mergeCell ref="B179:B180"/>
    <mergeCell ref="C179:C180"/>
    <mergeCell ref="A177:A178"/>
    <mergeCell ref="B177:B178"/>
    <mergeCell ref="C177:C178"/>
    <mergeCell ref="A183:A184"/>
    <mergeCell ref="A181:A182"/>
    <mergeCell ref="B181:B182"/>
    <mergeCell ref="C181:C182"/>
    <mergeCell ref="A185:A186"/>
    <mergeCell ref="B185:B186"/>
    <mergeCell ref="C185:C186"/>
    <mergeCell ref="D185:D186"/>
    <mergeCell ref="E189:E190"/>
    <mergeCell ref="F189:F190"/>
    <mergeCell ref="C187:C188"/>
    <mergeCell ref="F181:F182"/>
    <mergeCell ref="E183:E184"/>
    <mergeCell ref="F183:F184"/>
    <mergeCell ref="E185:E186"/>
    <mergeCell ref="F185:F186"/>
    <mergeCell ref="D181:D182"/>
    <mergeCell ref="A189:A190"/>
    <mergeCell ref="B189:B190"/>
    <mergeCell ref="C189:C190"/>
    <mergeCell ref="D189:D190"/>
    <mergeCell ref="C191:C192"/>
    <mergeCell ref="D191:D192"/>
    <mergeCell ref="E191:E192"/>
    <mergeCell ref="F191:F192"/>
    <mergeCell ref="G193:G194"/>
    <mergeCell ref="C193:C194"/>
    <mergeCell ref="D193:D194"/>
    <mergeCell ref="E193:E194"/>
    <mergeCell ref="F193:F194"/>
    <mergeCell ref="B9:H9"/>
    <mergeCell ref="B7:H7"/>
    <mergeCell ref="B8:H8"/>
    <mergeCell ref="D187:D188"/>
    <mergeCell ref="B183:B184"/>
    <mergeCell ref="E187:E188"/>
    <mergeCell ref="F187:F188"/>
    <mergeCell ref="E177:E178"/>
    <mergeCell ref="F177:F178"/>
    <mergeCell ref="D177:D178"/>
    <mergeCell ref="B4:H4"/>
    <mergeCell ref="B3:H3"/>
    <mergeCell ref="B5:H5"/>
    <mergeCell ref="B6:H6"/>
  </mergeCells>
  <conditionalFormatting sqref="B3:B9">
    <cfRule type="expression" priority="1" dxfId="15" stopIfTrue="1">
      <formula>$L$3="Yes"</formula>
    </cfRule>
  </conditionalFormatting>
  <conditionalFormatting sqref="B11">
    <cfRule type="expression" priority="2" dxfId="15" stopIfTrue="1">
      <formula>#REF!="Yes"</formula>
    </cfRule>
  </conditionalFormatting>
  <conditionalFormatting sqref="I11">
    <cfRule type="expression" priority="3" dxfId="16" stopIfTrue="1">
      <formula>$J$2="Fast Day"</formula>
    </cfRule>
    <cfRule type="expression" priority="4" dxfId="16" stopIfTrue="1">
      <formula>$J$2="Cheat Day"</formula>
    </cfRule>
    <cfRule type="expression" priority="5" dxfId="15" stopIfTrue="1">
      <formula>$J$2="Depletion Day"</formula>
    </cfRule>
  </conditionalFormatting>
  <conditionalFormatting sqref="H11">
    <cfRule type="expression" priority="6" dxfId="16" stopIfTrue="1">
      <formula>$J$2="Cheat Day"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3" location="ShakeB" display="ShakeB"/>
    <hyperlink ref="I4" location="ShakeMM" display="ShakeMM"/>
    <hyperlink ref="I5" location="ShakeL" display="ShakeL"/>
    <hyperlink ref="I6" location="ShakeEE" display="ShakeEE"/>
    <hyperlink ref="I8" location="bed5" display="Pre Bed"/>
    <hyperlink ref="B1" location="Five" display="DATABASE REFERENCES"/>
    <hyperlink ref="I7" location="ShakeD" display="ShakeD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 I3:I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GA6998"/>
  <sheetViews>
    <sheetView showGridLines="0" showRowColHeaders="0" showZeros="0" showOutlineSymbols="0" zoomScale="95" zoomScaleNormal="95" zoomScalePageLayoutView="0" workbookViewId="0" topLeftCell="A1">
      <pane ySplit="12" topLeftCell="BM14" activePane="bottomLeft" state="frozen"/>
      <selection pane="topLeft" activeCell="A1" sqref="A1"/>
      <selection pane="bottomLeft" activeCell="C29" sqref="C29:C30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3" width="9.140625" style="5" customWidth="1"/>
    <col min="14" max="23" width="9.140625" style="10" customWidth="1"/>
    <col min="24" max="182" width="9.140625" style="5" customWidth="1"/>
    <col min="183" max="183" width="0" style="5" hidden="1" customWidth="1"/>
    <col min="184" max="16384" width="9.140625" style="5" customWidth="1"/>
  </cols>
  <sheetData>
    <row r="1" spans="2:23" ht="15">
      <c r="B1" s="145" t="s">
        <v>37</v>
      </c>
      <c r="C1" s="117"/>
      <c r="F1" s="101"/>
      <c r="G1" s="101"/>
      <c r="H1" s="102"/>
      <c r="I1" s="102"/>
      <c r="N1" s="5"/>
      <c r="O1" s="5"/>
      <c r="P1" s="5"/>
      <c r="Q1" s="5"/>
      <c r="R1" s="5"/>
      <c r="S1" s="5"/>
      <c r="T1" s="5"/>
      <c r="U1" s="5"/>
      <c r="V1" s="5"/>
      <c r="W1" s="5"/>
    </row>
    <row r="2" spans="2:13" ht="15">
      <c r="B2" s="100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Database'!B76," - ",'Food Database'!C76," / ",'Food Database'!B77," - ",'Food Database'!C77," / ",'Food Database'!B78," - ",'Food Database'!C78," / ",'Food Database'!B79," - ",'Food Database'!C79," / ",'Food Database'!B80," - ",'Food Database'!C80)</f>
        <v>71 - Apple / 72 - Baked Potato / 73 - Banana / 74 - Beans (reduced salt) / 75 -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42.46</v>
      </c>
      <c r="K3" s="124">
        <f>E33</f>
        <v>33.445</v>
      </c>
      <c r="L3" s="124">
        <f>F33</f>
        <v>29.339999999999996</v>
      </c>
      <c r="M3" s="124">
        <f>I20</f>
        <v>567.68</v>
      </c>
    </row>
    <row r="4" spans="2:13" ht="15">
      <c r="B4" s="451" t="str">
        <f>CONCATENATE('Food Database'!B81," - ",'Food Database'!C81," / ",'Food Database'!B82," - ",'Food Database'!C82," / ",'Food Database'!B83," - ",'Food Database'!C83," / ",'Food Database'!B84," - ",'Food Database'!C84," / ",'Food Database'!B85," - ",'Food Database'!C85)</f>
        <v>76 - Chicken breast (raw) / 77 - Diced Onion / 78 - Egg 56g / 79 - GF Pasta / 80 -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Database'!B86," - ",'Food Database'!C86," / ",'Food Database'!B87," - ",'Food Database'!C87," / ",'Food Database'!B88," - ",'Food Database'!C88," / ",'Food Database'!B89," - ",'Food Database'!C89," / ",'Food Database'!B90," - ",'Food Database'!C90)</f>
        <v>81 - Lactose Free Milk Semi / 82 - Mccains oven chips (frozen) / 83 - Micellar Caseine (IronS) / 84 - Minus 1 Egg Yolk / 85 -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68.42672240802675</v>
      </c>
      <c r="K5" s="124">
        <f>E97</f>
        <v>50.73924749163881</v>
      </c>
      <c r="L5" s="124">
        <f>F97</f>
        <v>4.532558528428094</v>
      </c>
      <c r="M5" s="124">
        <f>I84</f>
        <v>517.456906354515</v>
      </c>
    </row>
    <row r="6" spans="2:13" ht="15">
      <c r="B6" s="451" t="str">
        <f>CONCATENATE('Food Database'!B91," - ",'Food Database'!C91," / ",'Food Database'!B92," - ",'Food Database'!C92," / ",'Food Database'!B93," - ",'Food Database'!C93," / ",'Food Database'!B94," - ",'Food Database'!C94," / ",'Food Database'!B95," - ",'Food Database'!C95)</f>
        <v>86 - Oats / 87 - Organic Crunchy PB / 88 - Peanut Butter / 89 - Peas / 90 -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Database'!B96," - ",'Food Database'!C96," / ",'Food Database'!B97," - ",'Food Database'!C97," / ",'Food Database'!B98," - ",'Food Database'!C98," / ",'Food Database'!B99," - ",'Food Database'!C99," / ",'Food Database'!B100," - ",'Food Database'!C100)</f>
        <v>91 - Rapeseed Oil / 92 - Rice (uncooked weight) / 93 - Rump Steak / 94 - Grated cheese light / 95 -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Database'!B101," - ",'Food Database'!C101," / ",'Food Database'!B102," - ",'Food Database'!C102," / ",'Food Database'!B103," - ",'Food Database'!C103," / ",'Food Database'!B104," - ",'Food Database'!C104," / ",'Food Database'!B105," - ",'Food Database'!C105)</f>
        <v>96 - organic honey / 97 - Tomato sauce / 98 - Dried Mixed Fruit / 99 - Broccoli, Boiled / 100 - </v>
      </c>
      <c r="C8" s="451"/>
      <c r="D8" s="451"/>
      <c r="E8" s="451"/>
      <c r="F8" s="451"/>
      <c r="G8" s="451"/>
      <c r="H8" s="451"/>
      <c r="I8" s="152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Database'!B106," - ",'Food Database'!C106," / ",'Food Database'!B107," - ",'Food Database'!C107," / ",'Food Database'!B108," - ",'Food Database'!C108," / ",'Food Database'!B109," - ",'Food Database'!C109," / ",'Food Database'!B110," - ",'Food Database'!C110)</f>
        <v>101 -  / 102 -  / 103 -  / 104 -  / 105 -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204.23461129691563</v>
      </c>
      <c r="K9" s="136">
        <f>SUM(K3:K8)</f>
        <v>211.43091415830546</v>
      </c>
      <c r="L9" s="136">
        <f>SUM(L3:L8)</f>
        <v>66.02200297287254</v>
      </c>
      <c r="M9" s="136">
        <f>SUM(M3:M8)</f>
        <v>2256.860128576737</v>
      </c>
    </row>
    <row r="10" spans="9:13" ht="15.75">
      <c r="I10" s="116"/>
      <c r="J10" s="135">
        <f>IF(ISERROR(SUM(J9*4)/SUM($J$9*4+$K$9*4+$L$9*9)),"0",(J9*4)/SUM(J9*4+K9*4+L9*9))</f>
        <v>0.3619800956397131</v>
      </c>
      <c r="K10" s="135">
        <f>IF(ISERROR(SUM(K9*4)/SUM($J$9*4+$K$9*4+$L$9*9)),"0",(K9*4)/SUM(J9*4+K9*4+L9*9))</f>
        <v>0.3747346350465094</v>
      </c>
      <c r="L10" s="135">
        <f>IF(ISERROR(SUM(L9*9)/SUM($J$9*4+$K$9*4+$L$9*9)),"0",(L9*9)/SUM(J9*4+K9*4+L9*9))</f>
        <v>0.26328526931377755</v>
      </c>
      <c r="M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23" s="92" customFormat="1" ht="8.25">
      <c r="A13" s="148"/>
      <c r="H13" s="93"/>
      <c r="I13" s="91"/>
      <c r="J13" s="94"/>
      <c r="K13" s="93"/>
      <c r="L13" s="93"/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1:23" ht="30">
      <c r="A14" s="149"/>
      <c r="B14" s="18" t="str">
        <f>Totals!G19</f>
        <v>Meal 1</v>
      </c>
      <c r="C14" s="11" t="str">
        <f ca="1">MID(CELL("Filename",A15),FIND("]",CELL("Filename",A15))+1,255)</f>
        <v>Day3</v>
      </c>
      <c r="D14" s="115" t="s">
        <v>46</v>
      </c>
      <c r="E14" s="130">
        <f>Totals!E5-M9</f>
        <v>243.13987142326278</v>
      </c>
      <c r="F14" s="114"/>
      <c r="G14" s="5"/>
      <c r="H14" s="10"/>
      <c r="I14" s="26"/>
      <c r="J14" s="120"/>
      <c r="K14" s="120"/>
      <c r="L14" s="120"/>
      <c r="M14" s="120"/>
      <c r="N14" s="120"/>
      <c r="O14" s="5"/>
      <c r="P14" s="5"/>
      <c r="Q14" s="5"/>
      <c r="R14" s="5"/>
      <c r="S14" s="5"/>
      <c r="T14" s="5"/>
      <c r="U14" s="5"/>
      <c r="V14" s="5"/>
      <c r="W14" s="5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3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  <c r="V16" s="5"/>
      <c r="W16" s="5"/>
    </row>
    <row r="17" spans="1:23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0.29918263810597523</v>
      </c>
      <c r="J17" s="142" t="str">
        <f>CONCATENATE(ROUND(D33,1)," ","g")</f>
        <v>42.5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  <c r="V17" s="5"/>
      <c r="W17" s="5"/>
    </row>
    <row r="18" spans="1:23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0.2356609357384442</v>
      </c>
      <c r="J18" s="142" t="str">
        <f>CONCATENATE(ROUND(E33,1)," ","g")</f>
        <v>33.4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  <c r="V18" s="5"/>
      <c r="W18" s="5"/>
    </row>
    <row r="19" spans="1:23" ht="15">
      <c r="A19" s="449"/>
      <c r="B19" s="450" t="str">
        <f>B38</f>
        <v>Egg 56g</v>
      </c>
      <c r="C19" s="458">
        <v>3</v>
      </c>
      <c r="D19" s="457">
        <f>SUM(C19*(D38/C38))</f>
        <v>21.84</v>
      </c>
      <c r="E19" s="457">
        <f>SUM(C19*(E38/C38))</f>
        <v>1.6800000000000002</v>
      </c>
      <c r="F19" s="457">
        <f>SUM(C19*(F38/C38))</f>
        <v>16.799999999999997</v>
      </c>
      <c r="H19" s="35" t="s">
        <v>72</v>
      </c>
      <c r="I19" s="25">
        <f>IF(ISERROR(SUM(F33*9)/SUM(D33*4+E33*4+F33*9)),0,SUM(F33*9)/SUM(D33*4+E33*4+F33*9))</f>
        <v>0.46515642615558056</v>
      </c>
      <c r="J19" s="142" t="str">
        <f>CONCATENATE(ROUND(F33,1)," ","g")</f>
        <v>29.3 g</v>
      </c>
      <c r="K19" s="120"/>
      <c r="L19" s="120"/>
      <c r="M19" s="120"/>
      <c r="N19" s="120"/>
      <c r="O19" s="120"/>
      <c r="P19" s="120"/>
      <c r="Q19" s="120"/>
      <c r="R19" s="5"/>
      <c r="S19" s="5"/>
      <c r="T19" s="5"/>
      <c r="U19" s="5"/>
      <c r="V19" s="5"/>
      <c r="W19" s="5"/>
    </row>
    <row r="20" spans="1:23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567.68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  <c r="V20" s="5"/>
      <c r="W20" s="5"/>
    </row>
    <row r="21" spans="1:23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  <c r="V21" s="5"/>
      <c r="W21" s="5"/>
    </row>
    <row r="22" spans="1:23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  <c r="V22" s="5"/>
      <c r="W22" s="5"/>
    </row>
    <row r="23" spans="1:23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  <c r="V23" s="5"/>
      <c r="W23" s="5"/>
    </row>
    <row r="24" spans="1:23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  <c r="R24" s="5"/>
      <c r="S24" s="5"/>
      <c r="T24" s="5"/>
      <c r="U24" s="5"/>
      <c r="V24" s="5"/>
      <c r="W24" s="5"/>
    </row>
    <row r="25" spans="1:23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  <c r="V25" s="5"/>
      <c r="W25" s="5"/>
    </row>
    <row r="26" spans="1:23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  <c r="V26" s="5"/>
      <c r="W26" s="5"/>
    </row>
    <row r="27" spans="1:23" ht="15">
      <c r="A27" s="449"/>
      <c r="B27" s="450" t="str">
        <f>B42</f>
        <v>Diced Onion</v>
      </c>
      <c r="C27" s="458">
        <v>50</v>
      </c>
      <c r="D27" s="457">
        <f>SUM(C27*(D42/C42))</f>
        <v>0.6</v>
      </c>
      <c r="E27" s="457">
        <f>SUM(C27*(E42/C42))</f>
        <v>3.95</v>
      </c>
      <c r="F27" s="457">
        <f>SUM(C27*(F42/C42))</f>
        <v>0.1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  <c r="V27" s="5"/>
      <c r="W27" s="5"/>
    </row>
    <row r="28" spans="1:23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  <c r="V28" s="5"/>
      <c r="W28" s="5"/>
    </row>
    <row r="29" spans="1:23" ht="15">
      <c r="A29" s="449"/>
      <c r="B29" s="450">
        <f>B43</f>
        <v>0</v>
      </c>
      <c r="C29" s="458"/>
      <c r="D29" s="457">
        <f>SUM(C29*(D43/C43))</f>
        <v>0</v>
      </c>
      <c r="E29" s="457">
        <f>SUM(C29*(E43/C43))</f>
        <v>0</v>
      </c>
      <c r="F29" s="457">
        <f>SUM(C29*(F43/C43))</f>
        <v>0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  <c r="R29" s="5"/>
      <c r="S29" s="5"/>
      <c r="T29" s="5"/>
      <c r="U29" s="5"/>
      <c r="V29" s="5"/>
      <c r="W29" s="5"/>
    </row>
    <row r="30" spans="1:23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  <c r="V30" s="5"/>
      <c r="W30" s="5"/>
    </row>
    <row r="31" spans="1:23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  <c r="V31" s="5"/>
      <c r="W31" s="5"/>
    </row>
    <row r="32" spans="1:23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  <c r="V32" s="5"/>
      <c r="W32" s="5"/>
    </row>
    <row r="33" spans="1:23" ht="15">
      <c r="A33" s="150"/>
      <c r="B33" s="2"/>
      <c r="C33" s="453" t="s">
        <v>2</v>
      </c>
      <c r="D33" s="455">
        <f>SUM(D17:D32)</f>
        <v>42.46</v>
      </c>
      <c r="E33" s="455">
        <f>SUM(E17:E32)</f>
        <v>33.445</v>
      </c>
      <c r="F33" s="455">
        <f>SUM(F17:F32)</f>
        <v>29.339999999999996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  <c r="V33" s="5"/>
      <c r="W33" s="5"/>
    </row>
    <row r="34" spans="1:23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  <c r="R34" s="5"/>
      <c r="S34" s="5"/>
      <c r="T34" s="5"/>
      <c r="U34" s="5"/>
      <c r="V34" s="5"/>
      <c r="W34" s="5"/>
    </row>
    <row r="35" spans="1:23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  <c r="V35" s="5"/>
      <c r="W35" s="5"/>
    </row>
    <row r="36" spans="1:23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  <c r="V36" s="5"/>
      <c r="W36" s="5"/>
    </row>
    <row r="37" spans="1:23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  <c r="V37" s="5"/>
      <c r="W37" s="5"/>
    </row>
    <row r="38" spans="1:23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  <c r="V38" s="5"/>
      <c r="W38" s="5"/>
    </row>
    <row r="39" spans="1:23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  <c r="R39" s="5"/>
      <c r="S39" s="5"/>
      <c r="T39" s="5"/>
      <c r="U39" s="5"/>
      <c r="V39" s="5"/>
      <c r="W39" s="5"/>
    </row>
    <row r="40" spans="1:23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  <c r="V40" s="5"/>
      <c r="W40" s="5"/>
    </row>
    <row r="41" spans="1:23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  <c r="V41" s="5"/>
      <c r="W41" s="5"/>
    </row>
    <row r="42" spans="1:23" ht="15">
      <c r="A42" s="40">
        <v>9</v>
      </c>
      <c r="B42" s="28" t="str">
        <f>VLOOKUP(A:A,'Food Database'!B:C,2,FALSE)</f>
        <v>Diced Onion</v>
      </c>
      <c r="C42" s="24">
        <f>VLOOKUP(A:A,'Food Database'!B:E,4,FALSE)</f>
        <v>100</v>
      </c>
      <c r="D42" s="29">
        <f>VLOOKUP(A:A,'Food Database'!B:F,5,FALSE)</f>
        <v>1.2</v>
      </c>
      <c r="E42" s="29">
        <f>VLOOKUP(A:A,'Food Database'!B:G,6,FALSE)</f>
        <v>7.9</v>
      </c>
      <c r="F42" s="29">
        <f>VLOOKUP(A:A,'Food Database'!B:H,7,FALSE)</f>
        <v>0.2</v>
      </c>
      <c r="H42" s="24" t="str">
        <f>VLOOKUP(A:A,'Food Database'!B:H,3,FALSE)</f>
        <v>Grams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  <c r="V42" s="5"/>
      <c r="W42" s="5"/>
    </row>
    <row r="43" spans="1:23" ht="15">
      <c r="A43" s="40"/>
      <c r="B43" s="28">
        <f>VLOOKUP(A:A,'Food Database'!B:C,2,FALSE)</f>
        <v>0</v>
      </c>
      <c r="C43" s="24">
        <f>VLOOKUP(A:A,'Food Database'!B:E,4,FALSE)</f>
        <v>100</v>
      </c>
      <c r="D43" s="29">
        <f>VLOOKUP(A:A,'Food Database'!B:F,5,FALSE)</f>
        <v>0</v>
      </c>
      <c r="E43" s="29">
        <f>VLOOKUP(A:A,'Food Database'!B:G,6,FALSE)</f>
        <v>0</v>
      </c>
      <c r="F43" s="29">
        <f>VLOOKUP(A:A,'Food Database'!B:H,7,FALSE)</f>
        <v>0</v>
      </c>
      <c r="H43" s="24">
        <f>VLOOKUP(A:A,'Food Database'!B:H,3,FALSE)</f>
        <v>0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  <c r="V43" s="5"/>
      <c r="W43" s="5"/>
    </row>
    <row r="44" spans="1:23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  <c r="R44" s="5"/>
      <c r="S44" s="5"/>
      <c r="T44" s="5"/>
      <c r="U44" s="5"/>
      <c r="V44" s="5"/>
      <c r="W44" s="5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23" ht="30">
      <c r="A46" s="149"/>
      <c r="B46" s="18" t="str">
        <f>Totals!G20</f>
        <v>Meal 2</v>
      </c>
      <c r="C46" s="11" t="str">
        <f ca="1">MID(CELL("Filename",A47),FIND("]",CELL("Filename",A47))+1,255)</f>
        <v>Day3</v>
      </c>
      <c r="D46" s="115" t="str">
        <f>D14</f>
        <v>Calories left to use =</v>
      </c>
      <c r="E46" s="130">
        <f>E14</f>
        <v>243.13987142326278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5"/>
      <c r="U46" s="5"/>
      <c r="V46" s="5"/>
      <c r="W46" s="5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23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  <c r="T48" s="5"/>
      <c r="U48" s="5"/>
      <c r="V48" s="5"/>
      <c r="W48" s="5"/>
    </row>
    <row r="49" spans="1:23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  <c r="T49" s="5"/>
      <c r="U49" s="5"/>
      <c r="V49" s="5"/>
      <c r="W49" s="5"/>
    </row>
    <row r="50" spans="1:23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449"/>
      <c r="B54" s="450"/>
      <c r="C54" s="458"/>
      <c r="D54" s="457"/>
      <c r="E54" s="457"/>
      <c r="F54" s="457"/>
      <c r="H54" s="12">
        <f>SUM(E65*4)</f>
        <v>400.32</v>
      </c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449"/>
      <c r="B56" s="450"/>
      <c r="C56" s="458"/>
      <c r="D56" s="457"/>
      <c r="E56" s="457"/>
      <c r="F56" s="457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 s="449"/>
      <c r="B58" s="450"/>
      <c r="C58" s="458"/>
      <c r="D58" s="457"/>
      <c r="E58" s="457"/>
      <c r="F58" s="457"/>
      <c r="J58" s="10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449"/>
      <c r="B60" s="450"/>
      <c r="C60" s="458"/>
      <c r="D60" s="457"/>
      <c r="E60" s="457"/>
      <c r="F60" s="457"/>
      <c r="H60" s="12"/>
      <c r="J60" s="10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449"/>
      <c r="B62" s="450"/>
      <c r="C62" s="458"/>
      <c r="D62" s="457"/>
      <c r="E62" s="457"/>
      <c r="F62" s="457"/>
      <c r="H62" s="12"/>
      <c r="J62" s="10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449"/>
      <c r="B64" s="450"/>
      <c r="C64" s="459"/>
      <c r="D64" s="456"/>
      <c r="E64" s="456"/>
      <c r="F64" s="456"/>
      <c r="J64" s="10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149"/>
      <c r="B66" s="27"/>
      <c r="C66" s="454"/>
      <c r="D66" s="456"/>
      <c r="E66" s="456"/>
      <c r="F66" s="456"/>
      <c r="G66" s="452"/>
      <c r="J66" s="10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149"/>
      <c r="E67" s="128"/>
      <c r="J67" s="10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23" ht="30">
      <c r="A78" s="149"/>
      <c r="B78" s="18" t="str">
        <f>Totals!G21</f>
        <v>Meal 3</v>
      </c>
      <c r="C78" s="11" t="str">
        <f ca="1">MID(CELL("Filename",A79),FIND("]",CELL("Filename",A79))+1,255)</f>
        <v>Day3</v>
      </c>
      <c r="D78" s="115" t="str">
        <f>D46</f>
        <v>Calories left to use =</v>
      </c>
      <c r="E78" s="130">
        <f>E46</f>
        <v>243.13987142326278</v>
      </c>
      <c r="I78" s="1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23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 s="449"/>
      <c r="B81" s="460" t="str">
        <f>B101</f>
        <v>Chicken breast (raw)</v>
      </c>
      <c r="C81" s="461">
        <v>250</v>
      </c>
      <c r="D81" s="455">
        <f>SUM(C81*(D101/C101))</f>
        <v>57.725</v>
      </c>
      <c r="E81" s="455">
        <f>SUM(C81*(E101/C101))</f>
        <v>0</v>
      </c>
      <c r="F81" s="455">
        <f>SUM(C81*(F101/C101))</f>
        <v>3.1</v>
      </c>
      <c r="H81" s="35" t="s">
        <v>70</v>
      </c>
      <c r="I81" s="25">
        <f>IF(ISERROR(SUM(D97*4)/SUM(D97*4+E97*4+F97*9)),0,SUM(D97*4)/SUM(D97*4+E97*4+F97*9))</f>
        <v>0.5289462489937038</v>
      </c>
      <c r="J81" s="142" t="str">
        <f>CONCATENATE(ROUND(D97,1)," ","g")</f>
        <v>68.4 g</v>
      </c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0.3922200814680157</v>
      </c>
      <c r="J82" s="142" t="str">
        <f>CONCATENATE(ROUND(E97,1)," ","g")</f>
        <v>50.7 g</v>
      </c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0.07883366953828061</v>
      </c>
      <c r="J83" s="142" t="str">
        <f>CONCATENATE(ROUND(F97,1)," ","g")</f>
        <v>4.5 g</v>
      </c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517.456906354515</v>
      </c>
      <c r="J84" s="120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>
      <c r="A86" s="449"/>
      <c r="B86" s="450"/>
      <c r="C86" s="458"/>
      <c r="D86" s="457"/>
      <c r="E86" s="457"/>
      <c r="F86" s="457"/>
      <c r="H86" s="12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 s="449"/>
      <c r="B88" s="450"/>
      <c r="C88" s="458"/>
      <c r="D88" s="457"/>
      <c r="E88" s="457"/>
      <c r="F88" s="457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>
      <c r="A90" s="449"/>
      <c r="B90" s="450"/>
      <c r="C90" s="458"/>
      <c r="D90" s="457"/>
      <c r="E90" s="457"/>
      <c r="F90" s="457"/>
      <c r="J90" s="10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>
      <c r="A92" s="449"/>
      <c r="B92" s="450"/>
      <c r="C92" s="458"/>
      <c r="D92" s="457"/>
      <c r="E92" s="457"/>
      <c r="F92" s="457"/>
      <c r="H92" s="12"/>
      <c r="J92" s="10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>
      <c r="A94" s="449"/>
      <c r="B94" s="450"/>
      <c r="C94" s="458"/>
      <c r="D94" s="457"/>
      <c r="E94" s="457"/>
      <c r="F94" s="457"/>
      <c r="H94" s="12"/>
      <c r="J94" s="10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>
      <c r="A96" s="449"/>
      <c r="B96" s="450"/>
      <c r="C96" s="459"/>
      <c r="D96" s="456"/>
      <c r="E96" s="456"/>
      <c r="F96" s="456"/>
      <c r="J96" s="10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 s="150"/>
      <c r="B97" s="2"/>
      <c r="C97" s="453" t="s">
        <v>2</v>
      </c>
      <c r="D97" s="455">
        <f>SUM(D81:D96)</f>
        <v>68.42672240802675</v>
      </c>
      <c r="E97" s="455">
        <f>SUM(E81:E96)</f>
        <v>50.73924749163881</v>
      </c>
      <c r="F97" s="455">
        <f>SUM(F81:F96)</f>
        <v>4.532558528428094</v>
      </c>
      <c r="G97" s="452"/>
      <c r="J97" s="10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 s="149"/>
      <c r="B98" s="27"/>
      <c r="C98" s="454"/>
      <c r="D98" s="456"/>
      <c r="E98" s="456"/>
      <c r="F98" s="456"/>
      <c r="G98" s="452"/>
      <c r="J98" s="10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 s="149"/>
      <c r="E99" s="128"/>
      <c r="J99" s="10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>
      <c r="A105" s="40">
        <v>99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23" ht="30">
      <c r="A110" s="149"/>
      <c r="B110" s="18" t="str">
        <f>Totals!G22</f>
        <v>Meal 4</v>
      </c>
      <c r="C110" s="11" t="str">
        <f ca="1">MID(CELL("Filename",A111),FIND("]",CELL("Filename",A111))+1,255)</f>
        <v>Day3</v>
      </c>
      <c r="D110" s="115" t="str">
        <f>D78</f>
        <v>Calories left to use =</v>
      </c>
      <c r="E110" s="130">
        <f>E78</f>
        <v>243.13987142326278</v>
      </c>
      <c r="I110" s="1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23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449"/>
      <c r="B118" s="450"/>
      <c r="C118" s="458"/>
      <c r="D118" s="457"/>
      <c r="E118" s="457"/>
      <c r="F118" s="457"/>
      <c r="H118" s="12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>
      <c r="A120" s="449"/>
      <c r="B120" s="450"/>
      <c r="C120" s="458"/>
      <c r="D120" s="457"/>
      <c r="E120" s="457"/>
      <c r="F120" s="457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449"/>
      <c r="B122" s="450"/>
      <c r="C122" s="458"/>
      <c r="D122" s="457"/>
      <c r="E122" s="457"/>
      <c r="F122" s="457"/>
      <c r="J122" s="10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49"/>
      <c r="B124" s="450"/>
      <c r="C124" s="458"/>
      <c r="D124" s="457"/>
      <c r="E124" s="457"/>
      <c r="F124" s="457"/>
      <c r="H124" s="12"/>
      <c r="J124" s="10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49"/>
      <c r="B126" s="450"/>
      <c r="C126" s="458"/>
      <c r="D126" s="457"/>
      <c r="E126" s="457"/>
      <c r="F126" s="457"/>
      <c r="H126" s="12"/>
      <c r="J126" s="10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449"/>
      <c r="B128" s="450"/>
      <c r="C128" s="459"/>
      <c r="D128" s="456"/>
      <c r="E128" s="456"/>
      <c r="F128" s="456"/>
      <c r="J128" s="10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149"/>
      <c r="B130" s="27"/>
      <c r="C130" s="454"/>
      <c r="D130" s="456"/>
      <c r="E130" s="456"/>
      <c r="F130" s="456"/>
      <c r="G130" s="452"/>
      <c r="J130" s="10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149"/>
      <c r="E131" s="128"/>
      <c r="J131" s="10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23" ht="30">
      <c r="A142" s="149"/>
      <c r="B142" s="18" t="str">
        <f>Totals!G23</f>
        <v>Meal 5</v>
      </c>
      <c r="C142" s="11" t="str">
        <f ca="1">MID(CELL("Filename",A143),FIND("]",CELL("Filename",A143))+1,255)</f>
        <v>Day3</v>
      </c>
      <c r="D142" s="115" t="str">
        <f>D110</f>
        <v>Calories left to use =</v>
      </c>
      <c r="E142" s="130">
        <f>E110</f>
        <v>243.13987142326278</v>
      </c>
      <c r="I142" s="1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23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>
      <c r="A150" s="449"/>
      <c r="B150" s="450"/>
      <c r="C150" s="458"/>
      <c r="D150" s="457"/>
      <c r="E150" s="457"/>
      <c r="F150" s="457"/>
      <c r="H150" s="12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>
      <c r="A152" s="449"/>
      <c r="B152" s="450"/>
      <c r="C152" s="458"/>
      <c r="D152" s="457"/>
      <c r="E152" s="457"/>
      <c r="F152" s="457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>
      <c r="A154" s="449"/>
      <c r="B154" s="450"/>
      <c r="C154" s="458"/>
      <c r="D154" s="457"/>
      <c r="E154" s="457"/>
      <c r="F154" s="457"/>
      <c r="J154" s="10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>
      <c r="A156" s="449"/>
      <c r="B156" s="450"/>
      <c r="C156" s="458"/>
      <c r="D156" s="457"/>
      <c r="E156" s="457"/>
      <c r="F156" s="457"/>
      <c r="H156" s="12"/>
      <c r="J156" s="10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>
      <c r="A158" s="449"/>
      <c r="B158" s="450"/>
      <c r="C158" s="458"/>
      <c r="D158" s="457"/>
      <c r="E158" s="457"/>
      <c r="F158" s="457"/>
      <c r="H158" s="12"/>
      <c r="J158" s="10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>
      <c r="A160" s="449"/>
      <c r="B160" s="450"/>
      <c r="C160" s="459"/>
      <c r="D160" s="456"/>
      <c r="E160" s="456"/>
      <c r="F160" s="456"/>
      <c r="J160" s="10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>
      <c r="A162" s="149"/>
      <c r="B162" s="27"/>
      <c r="C162" s="454"/>
      <c r="D162" s="456"/>
      <c r="E162" s="456"/>
      <c r="F162" s="456"/>
      <c r="G162" s="452"/>
      <c r="J162" s="10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>
      <c r="A163" s="149"/>
      <c r="E163" s="128"/>
      <c r="J163" s="10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23" ht="30">
      <c r="A174" s="149"/>
      <c r="B174" s="18" t="str">
        <f>Totals!G24</f>
        <v>Meal 6</v>
      </c>
      <c r="C174" s="11" t="str">
        <f ca="1">MID(CELL("Filename",A175),FIND("]",CELL("Filename",A175))+1,255)</f>
        <v>Day3</v>
      </c>
      <c r="D174" s="115" t="str">
        <f>D142</f>
        <v>Calories left to use =</v>
      </c>
      <c r="E174" s="130">
        <f>E142</f>
        <v>243.13987142326278</v>
      </c>
      <c r="I174" s="1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23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>
      <c r="A182" s="449"/>
      <c r="B182" s="450"/>
      <c r="C182" s="458"/>
      <c r="D182" s="457"/>
      <c r="E182" s="457"/>
      <c r="F182" s="457"/>
      <c r="H182" s="12">
        <f>SUM(E193*4)</f>
        <v>0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>
      <c r="A184" s="449"/>
      <c r="B184" s="450"/>
      <c r="C184" s="458"/>
      <c r="D184" s="457"/>
      <c r="E184" s="457"/>
      <c r="F184" s="457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>
      <c r="A186" s="449"/>
      <c r="B186" s="450"/>
      <c r="C186" s="458"/>
      <c r="D186" s="457"/>
      <c r="E186" s="457"/>
      <c r="F186" s="457"/>
      <c r="J186" s="10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>
      <c r="A188" s="449"/>
      <c r="B188" s="450"/>
      <c r="C188" s="458"/>
      <c r="D188" s="457"/>
      <c r="E188" s="457"/>
      <c r="F188" s="457"/>
      <c r="H188" s="12"/>
      <c r="J188" s="10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>
      <c r="A190" s="449"/>
      <c r="B190" s="450"/>
      <c r="C190" s="458"/>
      <c r="D190" s="457"/>
      <c r="E190" s="457"/>
      <c r="F190" s="457"/>
      <c r="H190" s="12"/>
      <c r="J190" s="10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>
      <c r="A192" s="449"/>
      <c r="B192" s="450"/>
      <c r="C192" s="459"/>
      <c r="D192" s="456"/>
      <c r="E192" s="456"/>
      <c r="F192" s="456"/>
      <c r="J192" s="10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>
      <c r="A194" s="149"/>
      <c r="B194" s="27"/>
      <c r="C194" s="454"/>
      <c r="D194" s="456"/>
      <c r="E194" s="456"/>
      <c r="F194" s="456"/>
      <c r="G194" s="452"/>
      <c r="J194" s="10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>
      <c r="A195" s="149"/>
      <c r="J195" s="10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6997" ht="15">
      <c r="GA6997" s="19" t="s">
        <v>32</v>
      </c>
    </row>
    <row r="6998" ht="15">
      <c r="GA6998" s="19" t="s">
        <v>65</v>
      </c>
    </row>
  </sheetData>
  <sheetProtection password="D348" sheet="1" selectLockedCells="1"/>
  <mergeCells count="326">
    <mergeCell ref="A12:F12"/>
    <mergeCell ref="C27:C28"/>
    <mergeCell ref="B29:B30"/>
    <mergeCell ref="C29:C30"/>
    <mergeCell ref="E29:E30"/>
    <mergeCell ref="F29:F30"/>
    <mergeCell ref="F25:F26"/>
    <mergeCell ref="D27:D28"/>
    <mergeCell ref="E27:E28"/>
    <mergeCell ref="F27:F28"/>
    <mergeCell ref="E151:E152"/>
    <mergeCell ref="F151:F152"/>
    <mergeCell ref="E153:E154"/>
    <mergeCell ref="F153:F154"/>
    <mergeCell ref="E157:E158"/>
    <mergeCell ref="F157:F158"/>
    <mergeCell ref="C157:C158"/>
    <mergeCell ref="D157:D158"/>
    <mergeCell ref="E161:E162"/>
    <mergeCell ref="F161:F162"/>
    <mergeCell ref="E159:E160"/>
    <mergeCell ref="F159:F160"/>
    <mergeCell ref="C159:C160"/>
    <mergeCell ref="D159:D160"/>
    <mergeCell ref="C161:C162"/>
    <mergeCell ref="D161:D162"/>
    <mergeCell ref="A157:A158"/>
    <mergeCell ref="B157:B158"/>
    <mergeCell ref="A159:A160"/>
    <mergeCell ref="B159:B160"/>
    <mergeCell ref="E155:E156"/>
    <mergeCell ref="F155:F156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1:A152"/>
    <mergeCell ref="B151:B152"/>
    <mergeCell ref="C151:C152"/>
    <mergeCell ref="D151:D152"/>
    <mergeCell ref="A147:A148"/>
    <mergeCell ref="B147:B148"/>
    <mergeCell ref="C147:C148"/>
    <mergeCell ref="A149:A150"/>
    <mergeCell ref="B149:B150"/>
    <mergeCell ref="C149:C150"/>
    <mergeCell ref="D149:D150"/>
    <mergeCell ref="D147:D148"/>
    <mergeCell ref="E147:E148"/>
    <mergeCell ref="F147:F148"/>
    <mergeCell ref="E145:E146"/>
    <mergeCell ref="F145:F146"/>
    <mergeCell ref="E149:E150"/>
    <mergeCell ref="F149:F150"/>
    <mergeCell ref="A145:A146"/>
    <mergeCell ref="B145:B146"/>
    <mergeCell ref="C145:C146"/>
    <mergeCell ref="D145:D146"/>
    <mergeCell ref="E127:E128"/>
    <mergeCell ref="F127:F128"/>
    <mergeCell ref="A125:A126"/>
    <mergeCell ref="B125:B126"/>
    <mergeCell ref="A127:A128"/>
    <mergeCell ref="B127:B128"/>
    <mergeCell ref="C127:C128"/>
    <mergeCell ref="D127:D128"/>
    <mergeCell ref="C125:C126"/>
    <mergeCell ref="D125:D126"/>
    <mergeCell ref="E121:E122"/>
    <mergeCell ref="F121:F122"/>
    <mergeCell ref="E123:E124"/>
    <mergeCell ref="F123:F124"/>
    <mergeCell ref="E125:E126"/>
    <mergeCell ref="F125:F126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E113:E114"/>
    <mergeCell ref="F113:F114"/>
    <mergeCell ref="E115:E116"/>
    <mergeCell ref="F115:F116"/>
    <mergeCell ref="E117:E118"/>
    <mergeCell ref="F117:F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C95:C96"/>
    <mergeCell ref="D95:D96"/>
    <mergeCell ref="C93:C94"/>
    <mergeCell ref="D93:D94"/>
    <mergeCell ref="A93:A94"/>
    <mergeCell ref="B93:B94"/>
    <mergeCell ref="A95:A96"/>
    <mergeCell ref="B95:B96"/>
    <mergeCell ref="E89:E90"/>
    <mergeCell ref="E95:E96"/>
    <mergeCell ref="F89:F90"/>
    <mergeCell ref="E91:E92"/>
    <mergeCell ref="F91:F92"/>
    <mergeCell ref="E93:E94"/>
    <mergeCell ref="F93:F94"/>
    <mergeCell ref="F95:F96"/>
    <mergeCell ref="A91:A92"/>
    <mergeCell ref="B91:B92"/>
    <mergeCell ref="C91:C92"/>
    <mergeCell ref="D91:D92"/>
    <mergeCell ref="A89:A90"/>
    <mergeCell ref="B89:B90"/>
    <mergeCell ref="C89:C90"/>
    <mergeCell ref="D89:D90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E81:E82"/>
    <mergeCell ref="F81:F82"/>
    <mergeCell ref="E83:E84"/>
    <mergeCell ref="F83:F84"/>
    <mergeCell ref="E85:E86"/>
    <mergeCell ref="F85:F86"/>
    <mergeCell ref="A83:A84"/>
    <mergeCell ref="B83:B84"/>
    <mergeCell ref="C83:C84"/>
    <mergeCell ref="D83:D84"/>
    <mergeCell ref="A81:A82"/>
    <mergeCell ref="B81:B82"/>
    <mergeCell ref="C81:C82"/>
    <mergeCell ref="D81:D82"/>
    <mergeCell ref="F63:F64"/>
    <mergeCell ref="F61:F62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3:A54"/>
    <mergeCell ref="B53:B54"/>
    <mergeCell ref="A55:A56"/>
    <mergeCell ref="B55:B56"/>
    <mergeCell ref="A51:A52"/>
    <mergeCell ref="B51:B52"/>
    <mergeCell ref="C51:C52"/>
    <mergeCell ref="D51:D52"/>
    <mergeCell ref="A49:A50"/>
    <mergeCell ref="B49:B50"/>
    <mergeCell ref="C49:C50"/>
    <mergeCell ref="D49:D50"/>
    <mergeCell ref="D31:D32"/>
    <mergeCell ref="E31:E32"/>
    <mergeCell ref="F31:F32"/>
    <mergeCell ref="A29:A30"/>
    <mergeCell ref="A31:A32"/>
    <mergeCell ref="D29:D30"/>
    <mergeCell ref="B31:B32"/>
    <mergeCell ref="C31:C32"/>
    <mergeCell ref="A25:A26"/>
    <mergeCell ref="A27:A28"/>
    <mergeCell ref="B25:B26"/>
    <mergeCell ref="C25:C26"/>
    <mergeCell ref="B27:B28"/>
    <mergeCell ref="D25:D26"/>
    <mergeCell ref="E21:E22"/>
    <mergeCell ref="D21:D22"/>
    <mergeCell ref="E23:E24"/>
    <mergeCell ref="E25:E26"/>
    <mergeCell ref="B21:B22"/>
    <mergeCell ref="C21:C22"/>
    <mergeCell ref="B23:B24"/>
    <mergeCell ref="B17:B18"/>
    <mergeCell ref="C17:C18"/>
    <mergeCell ref="B19:B20"/>
    <mergeCell ref="C19:C20"/>
    <mergeCell ref="A17:A18"/>
    <mergeCell ref="A19:A20"/>
    <mergeCell ref="A21:A22"/>
    <mergeCell ref="A23:A24"/>
    <mergeCell ref="F23:F24"/>
    <mergeCell ref="D23:D24"/>
    <mergeCell ref="F21:F22"/>
    <mergeCell ref="C23:C24"/>
    <mergeCell ref="F17:F18"/>
    <mergeCell ref="D17:D18"/>
    <mergeCell ref="E17:E18"/>
    <mergeCell ref="D19:D20"/>
    <mergeCell ref="E19:E20"/>
    <mergeCell ref="F19:F20"/>
    <mergeCell ref="D53:D54"/>
    <mergeCell ref="F65:F66"/>
    <mergeCell ref="D33:D34"/>
    <mergeCell ref="E33:E34"/>
    <mergeCell ref="F33:F34"/>
    <mergeCell ref="F55:F56"/>
    <mergeCell ref="F57:F58"/>
    <mergeCell ref="E59:E60"/>
    <mergeCell ref="F59:F60"/>
    <mergeCell ref="E63:E64"/>
    <mergeCell ref="C33:C34"/>
    <mergeCell ref="E55:E56"/>
    <mergeCell ref="C65:C66"/>
    <mergeCell ref="D65:D66"/>
    <mergeCell ref="E65:E66"/>
    <mergeCell ref="E61:E62"/>
    <mergeCell ref="E57:E58"/>
    <mergeCell ref="C55:C56"/>
    <mergeCell ref="D55:D56"/>
    <mergeCell ref="C53:C54"/>
    <mergeCell ref="E97:E98"/>
    <mergeCell ref="F97:F98"/>
    <mergeCell ref="G33:G34"/>
    <mergeCell ref="G65:G66"/>
    <mergeCell ref="E53:E54"/>
    <mergeCell ref="F53:F54"/>
    <mergeCell ref="E49:E50"/>
    <mergeCell ref="F49:F50"/>
    <mergeCell ref="E51:E52"/>
    <mergeCell ref="F51:F52"/>
    <mergeCell ref="B9:H9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A177:A178"/>
    <mergeCell ref="B177:B178"/>
    <mergeCell ref="C177:C178"/>
    <mergeCell ref="D177:D178"/>
    <mergeCell ref="E181:E182"/>
    <mergeCell ref="F181:F182"/>
    <mergeCell ref="A179:A180"/>
    <mergeCell ref="B179:B180"/>
    <mergeCell ref="C179:C180"/>
    <mergeCell ref="D179:D180"/>
    <mergeCell ref="E177:E178"/>
    <mergeCell ref="F177:F178"/>
    <mergeCell ref="E179:E180"/>
    <mergeCell ref="F179:F180"/>
    <mergeCell ref="E183:E184"/>
    <mergeCell ref="F183:F184"/>
    <mergeCell ref="A181:A182"/>
    <mergeCell ref="B181:B182"/>
    <mergeCell ref="A183:A184"/>
    <mergeCell ref="B183:B184"/>
    <mergeCell ref="C183:C184"/>
    <mergeCell ref="D183:D184"/>
    <mergeCell ref="C181:C182"/>
    <mergeCell ref="D181:D18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F185:F186"/>
    <mergeCell ref="E187:E188"/>
    <mergeCell ref="F187:F188"/>
    <mergeCell ref="E189:E190"/>
    <mergeCell ref="F189:F190"/>
    <mergeCell ref="D191:D192"/>
    <mergeCell ref="C189:C190"/>
    <mergeCell ref="D189:D190"/>
    <mergeCell ref="E185:E186"/>
    <mergeCell ref="A189:A190"/>
    <mergeCell ref="B189:B190"/>
    <mergeCell ref="A191:A192"/>
    <mergeCell ref="B191:B192"/>
    <mergeCell ref="B4:H4"/>
    <mergeCell ref="B3:H3"/>
    <mergeCell ref="G193:G194"/>
    <mergeCell ref="C193:C194"/>
    <mergeCell ref="D193:D194"/>
    <mergeCell ref="E193:E194"/>
    <mergeCell ref="F193:F194"/>
    <mergeCell ref="E191:E192"/>
    <mergeCell ref="F191:F192"/>
    <mergeCell ref="C191:C192"/>
    <mergeCell ref="B8:H8"/>
    <mergeCell ref="B7:H7"/>
    <mergeCell ref="B6:H6"/>
    <mergeCell ref="B5:H5"/>
  </mergeCells>
  <conditionalFormatting sqref="B11">
    <cfRule type="expression" priority="1" dxfId="15" stopIfTrue="1">
      <formula>#REF!="Yes"</formula>
    </cfRule>
  </conditionalFormatting>
  <conditionalFormatting sqref="I11">
    <cfRule type="expression" priority="2" dxfId="16" stopIfTrue="1">
      <formula>$J$2="Fast Day"</formula>
    </cfRule>
    <cfRule type="expression" priority="3" dxfId="16" stopIfTrue="1">
      <formula>$J$2="Cheat Day"</formula>
    </cfRule>
    <cfRule type="expression" priority="4" dxfId="15" stopIfTrue="1">
      <formula>$J$2="Depletion Day"</formula>
    </cfRule>
  </conditionalFormatting>
  <conditionalFormatting sqref="H11">
    <cfRule type="expression" priority="5" dxfId="16" stopIfTrue="1">
      <formula>$J$2="Cheat Day"</formula>
    </cfRule>
  </conditionalFormatting>
  <conditionalFormatting sqref="B3:B9">
    <cfRule type="expression" priority="6" dxfId="15" stopIfTrue="1">
      <formula>$L$3="Yes"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7" location="FastD" display="FastD"/>
    <hyperlink ref="I6" location="FastEE" display="FastEE"/>
    <hyperlink ref="I5" location="FastL" display="FastL"/>
    <hyperlink ref="I4" location="FastMM" display="FastMM"/>
    <hyperlink ref="I3" location="FastB" display="FastB"/>
    <hyperlink ref="I8" location="Bed2" display="Pre Bed"/>
    <hyperlink ref="B1" location="Two" display="DATABASE REFERENC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:IV12 I3:I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GA6946"/>
  <sheetViews>
    <sheetView showGridLines="0" showRowColHeaders="0" showZeros="0" showOutlineSymbols="0" zoomScale="95" zoomScaleNormal="95" workbookViewId="0" topLeftCell="A1">
      <pane ySplit="12" topLeftCell="BM14" activePane="bottomLeft" state="frozen"/>
      <selection pane="topLeft" activeCell="A1" sqref="A1"/>
      <selection pane="bottomLeft" activeCell="C29" sqref="C29:C30"/>
    </sheetView>
  </sheetViews>
  <sheetFormatPr defaultColWidth="9.140625" defaultRowHeight="15"/>
  <cols>
    <col min="1" max="1" width="6.140625" style="3" customWidth="1"/>
    <col min="2" max="2" width="23.421875" style="3" bestFit="1" customWidth="1"/>
    <col min="3" max="3" width="15.00390625" style="3" bestFit="1" customWidth="1"/>
    <col min="4" max="6" width="18.7109375" style="22" customWidth="1"/>
    <col min="7" max="7" width="1.28515625" style="14" customWidth="1"/>
    <col min="8" max="8" width="14.421875" style="3" customWidth="1"/>
    <col min="9" max="9" width="12.7109375" style="3" bestFit="1" customWidth="1"/>
    <col min="10" max="10" width="14.421875" style="23" customWidth="1"/>
    <col min="11" max="12" width="14.421875" style="10" customWidth="1"/>
    <col min="13" max="182" width="9.140625" style="5" customWidth="1"/>
    <col min="183" max="183" width="0" style="5" hidden="1" customWidth="1"/>
    <col min="184" max="16384" width="9.140625" style="5" customWidth="1"/>
  </cols>
  <sheetData>
    <row r="1" spans="2:9" ht="15">
      <c r="B1" s="145" t="s">
        <v>37</v>
      </c>
      <c r="C1" s="117"/>
      <c r="F1" s="101"/>
      <c r="G1" s="101"/>
      <c r="H1" s="102"/>
      <c r="I1" s="102"/>
    </row>
    <row r="2" spans="2:13" ht="15">
      <c r="B2" s="100"/>
      <c r="C2" s="4"/>
      <c r="D2" s="5"/>
      <c r="E2" s="118"/>
      <c r="I2" s="6"/>
      <c r="J2" s="7" t="s">
        <v>0</v>
      </c>
      <c r="K2" s="7" t="s">
        <v>53</v>
      </c>
      <c r="L2" s="8" t="s">
        <v>1</v>
      </c>
      <c r="M2" s="10" t="s">
        <v>47</v>
      </c>
    </row>
    <row r="3" spans="2:13" ht="15">
      <c r="B3" s="451" t="str">
        <f>CONCATENATE('Food Database'!B112," - ",'Food Database'!C112," / ",'Food Database'!B113," - ",'Food Database'!C113," / ",'Food Database'!B114," - ",'Food Database'!C114," / ",'Food Database'!B115," - ",'Food Database'!C115," / ",'Food Database'!B116," - ",'Food Database'!C116)</f>
        <v>106 - Apple / 107 - Baked Potato / 108 - Banana / 109 - Beans (reduced salt) / 110 - Chicken breast</v>
      </c>
      <c r="C3" s="451"/>
      <c r="D3" s="451"/>
      <c r="E3" s="451"/>
      <c r="F3" s="451"/>
      <c r="G3" s="451"/>
      <c r="H3" s="451"/>
      <c r="I3" s="146" t="str">
        <f>B14</f>
        <v>Meal 1</v>
      </c>
      <c r="J3" s="124">
        <f>D33</f>
        <v>42.46</v>
      </c>
      <c r="K3" s="124">
        <f>E33</f>
        <v>33.445</v>
      </c>
      <c r="L3" s="124">
        <f>F33</f>
        <v>29.339999999999996</v>
      </c>
      <c r="M3" s="124">
        <f>I20</f>
        <v>567.68</v>
      </c>
    </row>
    <row r="4" spans="2:13" ht="15">
      <c r="B4" s="451" t="str">
        <f>CONCATENATE('Food Database'!B117," - ",'Food Database'!C117," / ",'Food Database'!B118," - ",'Food Database'!C118," / ",'Food Database'!B119," - ",'Food Database'!C119," / ",'Food Database'!B120," - ",'Food Database'!C120," / ",'Food Database'!B121," - ",'Food Database'!C121)</f>
        <v>111 - Chicken breast (raw) / 112 - Diced Onion / 113 - Egg 56g / 114 - GF Pasta / 115 - Hellmanns Full fat mayo</v>
      </c>
      <c r="C4" s="451"/>
      <c r="D4" s="451"/>
      <c r="E4" s="451"/>
      <c r="F4" s="451"/>
      <c r="G4" s="451"/>
      <c r="H4" s="451"/>
      <c r="I4" s="146" t="str">
        <f>B46</f>
        <v>Meal 2</v>
      </c>
      <c r="J4" s="124">
        <f>D65</f>
        <v>66.959</v>
      </c>
      <c r="K4" s="124">
        <f>E65</f>
        <v>100.08</v>
      </c>
      <c r="L4" s="124">
        <f>F65</f>
        <v>31.255000000000003</v>
      </c>
      <c r="M4" s="124">
        <f>I52</f>
        <v>949.451</v>
      </c>
    </row>
    <row r="5" spans="2:13" ht="15">
      <c r="B5" s="451" t="str">
        <f>CONCATENATE('Food Database'!B122," - ",'Food Database'!C122," / ",'Food Database'!B123," - ",'Food Database'!C123," / ",'Food Database'!B124," - ",'Food Database'!C124," / ",'Food Database'!B125," - ",'Food Database'!C125," / ",'Food Database'!B126," - ",'Food Database'!C126)</f>
        <v>116 - Lactose Free Milk Semi / 117 - Mccains oven chips (frozen) / 118 - Micellar Caseine (IronS) / 119 - Minus 1 Egg Yolk / 120 - Protein Powder</v>
      </c>
      <c r="C5" s="451"/>
      <c r="D5" s="451"/>
      <c r="E5" s="451"/>
      <c r="F5" s="451"/>
      <c r="G5" s="451"/>
      <c r="H5" s="451"/>
      <c r="I5" s="146" t="str">
        <f>B78</f>
        <v>Meal 3</v>
      </c>
      <c r="J5" s="124">
        <f>D97</f>
        <v>68.42672240802675</v>
      </c>
      <c r="K5" s="124">
        <f>E97</f>
        <v>50.73924749163881</v>
      </c>
      <c r="L5" s="124">
        <f>F97</f>
        <v>4.532558528428094</v>
      </c>
      <c r="M5" s="124">
        <f>I84</f>
        <v>517.456906354515</v>
      </c>
    </row>
    <row r="6" spans="2:13" ht="15">
      <c r="B6" s="451" t="str">
        <f>CONCATENATE('Food Database'!B127," - ",'Food Database'!C127," / ",'Food Database'!B128," - ",'Food Database'!C128," / ",'Food Database'!B129," - ",'Food Database'!C129," / ",'Food Database'!B130," - ",'Food Database'!C130," / ",'Food Database'!B131," - ",'Food Database'!C131)</f>
        <v>121 - Oats / 122 - Organic Crunchy PB / 123 - Peanut Butter / 124 - Peas / 125 - Protein Powder (IronS)</v>
      </c>
      <c r="C6" s="451"/>
      <c r="D6" s="451"/>
      <c r="E6" s="451"/>
      <c r="F6" s="451"/>
      <c r="G6" s="451"/>
      <c r="H6" s="451"/>
      <c r="I6" s="146" t="str">
        <f>B110</f>
        <v>Meal 4</v>
      </c>
      <c r="J6" s="124">
        <f>D129</f>
        <v>26.38888888888889</v>
      </c>
      <c r="K6" s="124">
        <f>E129</f>
        <v>27.166666666666664</v>
      </c>
      <c r="L6" s="124">
        <f>F129</f>
        <v>0.8944444444444444</v>
      </c>
      <c r="M6" s="124">
        <f>I116</f>
        <v>222.27222222222224</v>
      </c>
    </row>
    <row r="7" spans="2:13" ht="15">
      <c r="B7" s="451" t="str">
        <f>CONCATENATE('Food Database'!B132," - ",'Food Database'!C132," / ",'Food Database'!B133," - ",'Food Database'!C133," / ",'Food Database'!B134," - ",'Food Database'!C134," / ",'Food Database'!B135," - ",'Food Database'!C135," / ",'Food Database'!B136," - ",'Food Database'!C136)</f>
        <v>126 - Rapeseed Oil / 127 - Rice (uncooked weight) / 128 - Rump Steak / 129 - Grated cheese light / 130 - low fat mayo</v>
      </c>
      <c r="C7" s="451"/>
      <c r="D7" s="451"/>
      <c r="E7" s="451"/>
      <c r="F7" s="451"/>
      <c r="G7" s="451"/>
      <c r="H7" s="451"/>
      <c r="I7" s="146" t="str">
        <f>B142</f>
        <v>Meal 5</v>
      </c>
      <c r="J7" s="124">
        <f>D161</f>
        <v>0</v>
      </c>
      <c r="K7" s="124">
        <f>E161</f>
        <v>0</v>
      </c>
      <c r="L7" s="124">
        <f>F161</f>
        <v>0</v>
      </c>
      <c r="M7" s="124">
        <f>I148</f>
        <v>0</v>
      </c>
    </row>
    <row r="8" spans="2:13" ht="15.75" thickBot="1">
      <c r="B8" s="451" t="str">
        <f>CONCATENATE('Food Database'!B137," - ",'Food Database'!C137," / ",'Food Database'!B138," - ",'Food Database'!C138," / ",'Food Database'!B139," - ",'Food Database'!C139," / ",'Food Database'!B140," - ",'Food Database'!C140," / ",'Food Database'!B141," - ",'Food Database'!C141)</f>
        <v>131 - organic honey / 132 - Tomato sauce / 133 - Dried Mixed Fruit / 134 - Broccoli, Boiled / 135 - </v>
      </c>
      <c r="C8" s="451"/>
      <c r="D8" s="451"/>
      <c r="E8" s="451"/>
      <c r="F8" s="451"/>
      <c r="G8" s="451"/>
      <c r="H8" s="451"/>
      <c r="I8" s="152" t="str">
        <f>B174</f>
        <v>Meal 6</v>
      </c>
      <c r="J8" s="137">
        <f>D193</f>
        <v>0</v>
      </c>
      <c r="K8" s="137">
        <f>E193</f>
        <v>0</v>
      </c>
      <c r="L8" s="137">
        <f>F193</f>
        <v>0</v>
      </c>
      <c r="M8" s="138">
        <f>I180</f>
        <v>0</v>
      </c>
    </row>
    <row r="9" spans="2:13" ht="15.75" thickBot="1">
      <c r="B9" s="451" t="str">
        <f>CONCATENATE('Food Database'!B142," - ",'Food Database'!C142," / ",'Food Database'!B143," - ",'Food Database'!C143," / ",'Food Database'!B144," - ",'Food Database'!C144," / ",'Food Database'!B145," - ",'Food Database'!C145," / ",'Food Database'!B146," - ",'Food Database'!C146)</f>
        <v>136 -  / 137 -  / 138 -  / 139 -  / 140 - </v>
      </c>
      <c r="C9" s="451"/>
      <c r="D9" s="451"/>
      <c r="E9" s="451"/>
      <c r="F9" s="451"/>
      <c r="G9" s="451"/>
      <c r="H9" s="451"/>
      <c r="I9" s="116" t="s">
        <v>2</v>
      </c>
      <c r="J9" s="136">
        <f>SUM(J3:J8)</f>
        <v>204.23461129691563</v>
      </c>
      <c r="K9" s="136">
        <f>SUM(K3:K8)</f>
        <v>211.43091415830546</v>
      </c>
      <c r="L9" s="136">
        <f>SUM(L3:L8)</f>
        <v>66.02200297287254</v>
      </c>
      <c r="M9" s="136">
        <f>SUM(M3:M8)</f>
        <v>2256.860128576737</v>
      </c>
    </row>
    <row r="10" spans="9:13" ht="15.75">
      <c r="I10" s="116"/>
      <c r="J10" s="135">
        <f>IF(ISERROR(SUM(J9*4)/SUM($J$9*4+$K$9*4+$L$9*9)),"0",(J9*4)/SUM(J9*4+K9*4+L9*9))</f>
        <v>0.3619800956397131</v>
      </c>
      <c r="K10" s="135">
        <f>IF(ISERROR(SUM(K9*4)/SUM($J$9*4+$K$9*4+$L$9*9)),"0",(K9*4)/SUM(J9*4+K9*4+L9*9))</f>
        <v>0.3747346350465094</v>
      </c>
      <c r="L10" s="135">
        <f>IF(ISERROR(SUM(L9*9)/SUM($J$9*4+$K$9*4+$L$9*9)),"0",(L9*9)/SUM(J9*4+K9*4+L9*9))</f>
        <v>0.26328526931377755</v>
      </c>
      <c r="M10" s="125"/>
    </row>
    <row r="11" spans="2:12" ht="5.25" customHeight="1">
      <c r="B11" s="121"/>
      <c r="C11" s="9"/>
      <c r="D11" s="9"/>
      <c r="E11" s="9"/>
      <c r="F11" s="36"/>
      <c r="G11" s="9"/>
      <c r="H11" s="122"/>
      <c r="I11" s="122"/>
      <c r="J11" s="134"/>
      <c r="K11" s="134"/>
      <c r="L11" s="134"/>
    </row>
    <row r="12" spans="1:12" s="38" customFormat="1" ht="18.75">
      <c r="A12" s="462" t="str">
        <f>HYPERLINK("http://www.wayofthedave.com","For instructions, go to WayoftheDave.com")</f>
        <v>For instructions, go to WayoftheDave.com</v>
      </c>
      <c r="B12" s="463"/>
      <c r="C12" s="463"/>
      <c r="D12" s="463"/>
      <c r="E12" s="463"/>
      <c r="F12" s="463"/>
      <c r="H12" s="39"/>
      <c r="I12" s="37"/>
      <c r="K12" s="39"/>
      <c r="L12" s="39"/>
    </row>
    <row r="13" spans="1:12" s="92" customFormat="1" ht="8.25" customHeight="1">
      <c r="A13" s="148"/>
      <c r="H13" s="93"/>
      <c r="I13" s="91"/>
      <c r="J13" s="94"/>
      <c r="K13" s="93"/>
      <c r="L13" s="93"/>
    </row>
    <row r="14" spans="1:14" ht="30">
      <c r="A14" s="149"/>
      <c r="B14" s="18" t="str">
        <f>Totals!G19</f>
        <v>Meal 1</v>
      </c>
      <c r="C14" s="11" t="str">
        <f ca="1">MID(CELL("Filename",A15),FIND("]",CELL("Filename",A15))+1,255)</f>
        <v>Day4</v>
      </c>
      <c r="D14" s="115" t="s">
        <v>46</v>
      </c>
      <c r="E14" s="130">
        <f>Totals!E5-M9</f>
        <v>243.13987142326278</v>
      </c>
      <c r="F14" s="114"/>
      <c r="G14" s="5"/>
      <c r="H14" s="10"/>
      <c r="I14" s="26"/>
      <c r="J14" s="120"/>
      <c r="K14" s="120"/>
      <c r="L14" s="120"/>
      <c r="M14" s="120"/>
      <c r="N14" s="120"/>
    </row>
    <row r="15" spans="1:21" s="92" customFormat="1" ht="15" customHeight="1">
      <c r="A15" s="148"/>
      <c r="D15" s="95"/>
      <c r="E15" s="95"/>
      <c r="F15" s="95"/>
      <c r="G15" s="96"/>
      <c r="H15" s="97"/>
      <c r="I15" s="97"/>
      <c r="J15" s="120"/>
      <c r="K15" s="120"/>
      <c r="L15" s="120"/>
      <c r="M15" s="120"/>
      <c r="N15" s="120"/>
      <c r="O15" s="120"/>
      <c r="P15" s="120"/>
      <c r="Q15" s="120"/>
      <c r="R15" s="123"/>
      <c r="S15" s="123"/>
      <c r="T15" s="123"/>
      <c r="U15" s="123"/>
    </row>
    <row r="16" spans="1:21" ht="15">
      <c r="A16" s="149"/>
      <c r="B16" s="20" t="s">
        <v>35</v>
      </c>
      <c r="C16" s="20" t="s">
        <v>17</v>
      </c>
      <c r="D16" s="21" t="s">
        <v>0</v>
      </c>
      <c r="E16" s="21" t="s">
        <v>53</v>
      </c>
      <c r="F16" s="21" t="s">
        <v>1</v>
      </c>
      <c r="H16" s="129" t="s">
        <v>61</v>
      </c>
      <c r="I16" s="2"/>
      <c r="J16" s="2"/>
      <c r="K16" s="120"/>
      <c r="L16" s="120"/>
      <c r="M16" s="120"/>
      <c r="N16" s="120"/>
      <c r="O16" s="120"/>
      <c r="P16" s="120"/>
      <c r="Q16" s="120"/>
      <c r="R16" s="123"/>
      <c r="S16" s="123"/>
      <c r="T16" s="123"/>
      <c r="U16" s="123"/>
    </row>
    <row r="17" spans="1:21" ht="15">
      <c r="A17" s="449"/>
      <c r="B17" s="460" t="str">
        <f>B37</f>
        <v>Beans (reduced salt)</v>
      </c>
      <c r="C17" s="461">
        <v>250</v>
      </c>
      <c r="D17" s="455">
        <f>SUM(C17*(D37/C37))</f>
        <v>11.5</v>
      </c>
      <c r="E17" s="455">
        <f>SUM(C17*(E37/C37))</f>
        <v>26.875</v>
      </c>
      <c r="F17" s="455">
        <f>SUM(C17*(F37/C37))</f>
        <v>0.5</v>
      </c>
      <c r="H17" s="35" t="s">
        <v>70</v>
      </c>
      <c r="I17" s="25">
        <f>IF(ISERROR(SUM(D33*4)/SUM(D33*4+E33*4+F33*9)),0,SUM(D33*4)/SUM(D33*4+E33*4+F33*9))</f>
        <v>0.29918263810597523</v>
      </c>
      <c r="J17" s="142" t="str">
        <f>CONCATENATE(ROUND(D33,1)," ","g")</f>
        <v>42.5 g</v>
      </c>
      <c r="K17" s="120"/>
      <c r="L17" s="120"/>
      <c r="M17" s="120"/>
      <c r="N17" s="120"/>
      <c r="O17" s="120"/>
      <c r="P17" s="120"/>
      <c r="Q17" s="120"/>
      <c r="R17" s="123"/>
      <c r="S17" s="123"/>
      <c r="T17" s="123"/>
      <c r="U17" s="123"/>
    </row>
    <row r="18" spans="1:21" ht="15">
      <c r="A18" s="449"/>
      <c r="B18" s="450"/>
      <c r="C18" s="458"/>
      <c r="D18" s="457"/>
      <c r="E18" s="457"/>
      <c r="F18" s="457"/>
      <c r="H18" s="35" t="s">
        <v>71</v>
      </c>
      <c r="I18" s="25">
        <f>IF(ISERROR(SUM(E33*4)/SUM(D33*4+E33*4+F33*9)),0,SUM(E33*4)/SUM(D33*4+E33*4+F33*9))</f>
        <v>0.2356609357384442</v>
      </c>
      <c r="J18" s="142" t="str">
        <f>CONCATENATE(ROUND(E33,1)," ","g")</f>
        <v>33.4 g</v>
      </c>
      <c r="K18" s="120"/>
      <c r="L18" s="120"/>
      <c r="M18" s="120"/>
      <c r="N18" s="120"/>
      <c r="O18" s="120"/>
      <c r="P18" s="120"/>
      <c r="Q18" s="120"/>
      <c r="R18" s="123"/>
      <c r="S18" s="123"/>
      <c r="T18" s="123"/>
      <c r="U18" s="123"/>
    </row>
    <row r="19" spans="1:17" ht="15">
      <c r="A19" s="449"/>
      <c r="B19" s="450" t="str">
        <f>B38</f>
        <v>Egg 56g</v>
      </c>
      <c r="C19" s="458">
        <v>3</v>
      </c>
      <c r="D19" s="457">
        <f>SUM(C19*(D38/C38))</f>
        <v>21.84</v>
      </c>
      <c r="E19" s="457">
        <f>SUM(C19*(E38/C38))</f>
        <v>1.6800000000000002</v>
      </c>
      <c r="F19" s="457">
        <f>SUM(C19*(F38/C38))</f>
        <v>16.799999999999997</v>
      </c>
      <c r="H19" s="35" t="s">
        <v>72</v>
      </c>
      <c r="I19" s="25">
        <f>IF(ISERROR(SUM(F33*9)/SUM(D33*4+E33*4+F33*9)),0,SUM(F33*9)/SUM(D33*4+E33*4+F33*9))</f>
        <v>0.46515642615558056</v>
      </c>
      <c r="J19" s="142" t="str">
        <f>CONCATENATE(ROUND(F33,1)," ","g")</f>
        <v>29.3 g</v>
      </c>
      <c r="K19" s="120"/>
      <c r="L19" s="120"/>
      <c r="M19" s="120"/>
      <c r="N19" s="120"/>
      <c r="O19" s="120"/>
      <c r="P19" s="120"/>
      <c r="Q19" s="120"/>
    </row>
    <row r="20" spans="1:21" ht="15">
      <c r="A20" s="449"/>
      <c r="B20" s="450"/>
      <c r="C20" s="458"/>
      <c r="D20" s="457"/>
      <c r="E20" s="457"/>
      <c r="F20" s="457"/>
      <c r="H20" s="35" t="s">
        <v>73</v>
      </c>
      <c r="I20" s="26">
        <f>D33*4+E33*4+F33*9</f>
        <v>567.68</v>
      </c>
      <c r="J20" s="120"/>
      <c r="K20" s="120"/>
      <c r="L20" s="120"/>
      <c r="M20" s="120"/>
      <c r="N20" s="120"/>
      <c r="O20" s="120"/>
      <c r="P20" s="120"/>
      <c r="Q20" s="120"/>
      <c r="R20" s="123"/>
      <c r="S20" s="123"/>
      <c r="T20" s="123"/>
      <c r="U20" s="123"/>
    </row>
    <row r="21" spans="1:21" ht="15.75">
      <c r="A21" s="449"/>
      <c r="B21" s="450" t="str">
        <f>B39</f>
        <v>Rapeseed Oil</v>
      </c>
      <c r="C21" s="458">
        <v>5</v>
      </c>
      <c r="D21" s="457">
        <f>SUM(C21*(D39/C39))</f>
        <v>0</v>
      </c>
      <c r="E21" s="457">
        <f>SUM(C21*(E39/C39))</f>
        <v>0</v>
      </c>
      <c r="F21" s="457">
        <f>SUM(C21*(F39/C39))</f>
        <v>5</v>
      </c>
      <c r="H21" s="12"/>
      <c r="I21" s="26"/>
      <c r="J21" s="120"/>
      <c r="L21" s="133"/>
      <c r="M21" s="120"/>
      <c r="N21" s="120"/>
      <c r="O21" s="120"/>
      <c r="P21" s="120"/>
      <c r="Q21" s="120"/>
      <c r="R21" s="123"/>
      <c r="S21" s="123"/>
      <c r="T21" s="123"/>
      <c r="U21" s="123"/>
    </row>
    <row r="22" spans="1:21" ht="15.75">
      <c r="A22" s="449"/>
      <c r="B22" s="450"/>
      <c r="C22" s="458"/>
      <c r="D22" s="457"/>
      <c r="E22" s="457"/>
      <c r="F22" s="457"/>
      <c r="H22" s="12"/>
      <c r="J22" s="120"/>
      <c r="L22" s="133"/>
      <c r="M22" s="120"/>
      <c r="N22" s="120"/>
      <c r="O22" s="120"/>
      <c r="P22" s="120"/>
      <c r="Q22" s="120"/>
      <c r="R22" s="119"/>
      <c r="S22" s="119"/>
      <c r="T22" s="119"/>
      <c r="U22" s="119"/>
    </row>
    <row r="23" spans="1:21" ht="15.75">
      <c r="A23" s="449"/>
      <c r="B23" s="450" t="str">
        <f>B40</f>
        <v>Lactose Free Milk Semi</v>
      </c>
      <c r="C23" s="458">
        <v>20</v>
      </c>
      <c r="D23" s="457">
        <f>SUM(C23*(D40/C40))</f>
        <v>0.7200000000000001</v>
      </c>
      <c r="E23" s="457">
        <f>SUM(C23*(E40/C40))</f>
        <v>0.52</v>
      </c>
      <c r="F23" s="457">
        <f>SUM(C23*(F40/C40))</f>
        <v>0.34</v>
      </c>
      <c r="H23" s="12"/>
      <c r="J23" s="120"/>
      <c r="L23" s="133"/>
      <c r="M23" s="120"/>
      <c r="N23" s="120"/>
      <c r="O23" s="120"/>
      <c r="P23" s="120"/>
      <c r="Q23" s="120"/>
      <c r="R23" s="119"/>
      <c r="S23" s="119"/>
      <c r="T23" s="119"/>
      <c r="U23" s="119"/>
    </row>
    <row r="24" spans="1:17" ht="15.75">
      <c r="A24" s="449"/>
      <c r="B24" s="450"/>
      <c r="C24" s="458"/>
      <c r="D24" s="457"/>
      <c r="E24" s="457"/>
      <c r="F24" s="457"/>
      <c r="J24" s="120"/>
      <c r="L24" s="133"/>
      <c r="M24" s="120"/>
      <c r="N24" s="120"/>
      <c r="O24" s="120"/>
      <c r="P24" s="120"/>
      <c r="Q24" s="120"/>
    </row>
    <row r="25" spans="1:21" ht="15.75">
      <c r="A25" s="449"/>
      <c r="B25" s="450" t="str">
        <f>B41</f>
        <v>Grated cheese light</v>
      </c>
      <c r="C25" s="458">
        <v>30</v>
      </c>
      <c r="D25" s="457">
        <f>SUM(C25*(D41/C41))</f>
        <v>7.800000000000001</v>
      </c>
      <c r="E25" s="457">
        <f>SUM(C25*(E41/C41))</f>
        <v>0.41999999999999993</v>
      </c>
      <c r="F25" s="457">
        <f>SUM(C25*(F41/C41))</f>
        <v>6.6</v>
      </c>
      <c r="J25" s="120"/>
      <c r="L25" s="133"/>
      <c r="M25" s="120"/>
      <c r="N25" s="120"/>
      <c r="O25" s="120"/>
      <c r="P25" s="120"/>
      <c r="Q25" s="120"/>
      <c r="R25" s="119"/>
      <c r="S25" s="119"/>
      <c r="T25" s="119"/>
      <c r="U25" s="119"/>
    </row>
    <row r="26" spans="1:21" ht="15.75">
      <c r="A26" s="449"/>
      <c r="B26" s="450"/>
      <c r="C26" s="458"/>
      <c r="D26" s="457"/>
      <c r="E26" s="457"/>
      <c r="F26" s="457"/>
      <c r="J26" s="120"/>
      <c r="L26" s="133"/>
      <c r="M26" s="120"/>
      <c r="N26" s="120"/>
      <c r="O26" s="120"/>
      <c r="P26" s="120"/>
      <c r="Q26" s="120"/>
      <c r="R26" s="119"/>
      <c r="S26" s="119"/>
      <c r="T26" s="119"/>
      <c r="U26" s="119"/>
    </row>
    <row r="27" spans="1:21" ht="15">
      <c r="A27" s="449"/>
      <c r="B27" s="450" t="str">
        <f>B42</f>
        <v>Diced Onion</v>
      </c>
      <c r="C27" s="458">
        <v>50</v>
      </c>
      <c r="D27" s="457">
        <f>SUM(C27*(D42/C42))</f>
        <v>0.6</v>
      </c>
      <c r="E27" s="457">
        <f>SUM(C27*(E42/C42))</f>
        <v>3.95</v>
      </c>
      <c r="F27" s="457">
        <f>SUM(C27*(F42/C42))</f>
        <v>0.1</v>
      </c>
      <c r="I27" s="127"/>
      <c r="J27" s="120"/>
      <c r="L27" s="120"/>
      <c r="M27" s="120"/>
      <c r="N27" s="120"/>
      <c r="O27" s="120"/>
      <c r="P27" s="120"/>
      <c r="Q27" s="120"/>
      <c r="R27" s="119"/>
      <c r="S27" s="119"/>
      <c r="T27" s="119"/>
      <c r="U27" s="119"/>
    </row>
    <row r="28" spans="1:21" ht="15">
      <c r="A28" s="449"/>
      <c r="B28" s="450"/>
      <c r="C28" s="458"/>
      <c r="D28" s="457"/>
      <c r="E28" s="457"/>
      <c r="F28" s="457"/>
      <c r="H28" s="12"/>
      <c r="I28" s="127"/>
      <c r="J28" s="120"/>
      <c r="L28" s="120"/>
      <c r="M28" s="120"/>
      <c r="N28" s="120"/>
      <c r="O28" s="120"/>
      <c r="P28" s="120"/>
      <c r="Q28" s="120"/>
      <c r="R28" s="119"/>
      <c r="S28" s="119"/>
      <c r="T28" s="119"/>
      <c r="U28" s="119"/>
    </row>
    <row r="29" spans="1:17" ht="15">
      <c r="A29" s="449"/>
      <c r="B29" s="450">
        <f>B43</f>
        <v>0</v>
      </c>
      <c r="C29" s="458"/>
      <c r="D29" s="457">
        <f>SUM(C29*(D43/C43))</f>
        <v>0</v>
      </c>
      <c r="E29" s="457">
        <f>SUM(C29*(E43/C43))</f>
        <v>0</v>
      </c>
      <c r="F29" s="457">
        <f>SUM(C29*(F43/C43))</f>
        <v>0</v>
      </c>
      <c r="H29" s="12"/>
      <c r="I29" s="127"/>
      <c r="J29" s="120"/>
      <c r="K29" s="120"/>
      <c r="L29" s="120"/>
      <c r="M29" s="120"/>
      <c r="N29" s="120"/>
      <c r="O29" s="120"/>
      <c r="P29" s="120"/>
      <c r="Q29" s="120"/>
    </row>
    <row r="30" spans="1:21" ht="15">
      <c r="A30" s="449"/>
      <c r="B30" s="450"/>
      <c r="C30" s="458"/>
      <c r="D30" s="457"/>
      <c r="E30" s="457"/>
      <c r="F30" s="457"/>
      <c r="H30" s="12"/>
      <c r="J30" s="120"/>
      <c r="K30" s="120"/>
      <c r="L30" s="120"/>
      <c r="M30" s="120"/>
      <c r="N30" s="120"/>
      <c r="O30" s="120"/>
      <c r="P30" s="120"/>
      <c r="Q30" s="120"/>
      <c r="R30" s="119"/>
      <c r="S30" s="119"/>
      <c r="T30" s="119"/>
      <c r="U30" s="119"/>
    </row>
    <row r="31" spans="1:21" ht="15">
      <c r="A31" s="449"/>
      <c r="B31" s="450">
        <f>B44</f>
        <v>0</v>
      </c>
      <c r="C31" s="458"/>
      <c r="D31" s="457">
        <f>SUM(C31*(D44/C44))</f>
        <v>0</v>
      </c>
      <c r="E31" s="457">
        <f>SUM(C31*(E44/C44))</f>
        <v>0</v>
      </c>
      <c r="F31" s="457">
        <f>SUM(C31*(F44/C44))</f>
        <v>0</v>
      </c>
      <c r="G31" s="13"/>
      <c r="J31" s="120"/>
      <c r="K31" s="120"/>
      <c r="L31" s="120"/>
      <c r="M31" s="120"/>
      <c r="N31" s="120"/>
      <c r="O31" s="120"/>
      <c r="P31" s="120"/>
      <c r="Q31" s="120"/>
      <c r="R31" s="119"/>
      <c r="S31" s="119"/>
      <c r="T31" s="119"/>
      <c r="U31" s="119"/>
    </row>
    <row r="32" spans="1:21" ht="15">
      <c r="A32" s="449"/>
      <c r="B32" s="450"/>
      <c r="C32" s="459"/>
      <c r="D32" s="456"/>
      <c r="E32" s="456"/>
      <c r="F32" s="456"/>
      <c r="J32" s="120"/>
      <c r="K32" s="126"/>
      <c r="L32" s="120"/>
      <c r="M32" s="120"/>
      <c r="N32" s="120"/>
      <c r="O32" s="120"/>
      <c r="P32" s="120"/>
      <c r="Q32" s="120"/>
      <c r="R32" s="119"/>
      <c r="S32" s="119"/>
      <c r="T32" s="119"/>
      <c r="U32" s="119"/>
    </row>
    <row r="33" spans="1:21" ht="15">
      <c r="A33" s="150"/>
      <c r="B33" s="2"/>
      <c r="C33" s="453" t="s">
        <v>2</v>
      </c>
      <c r="D33" s="455">
        <f>SUM(D17:D32)</f>
        <v>42.46</v>
      </c>
      <c r="E33" s="455">
        <f>SUM(E17:E32)</f>
        <v>33.445</v>
      </c>
      <c r="F33" s="455">
        <f>SUM(F17:F32)</f>
        <v>29.339999999999996</v>
      </c>
      <c r="G33" s="452"/>
      <c r="J33" s="120"/>
      <c r="K33" s="120"/>
      <c r="L33" s="120"/>
      <c r="M33" s="120"/>
      <c r="N33" s="120"/>
      <c r="O33" s="120"/>
      <c r="P33" s="120"/>
      <c r="Q33" s="120"/>
      <c r="R33" s="123"/>
      <c r="S33" s="123"/>
      <c r="T33" s="123"/>
      <c r="U33" s="123"/>
    </row>
    <row r="34" spans="1:17" ht="15">
      <c r="A34" s="149"/>
      <c r="B34" s="27"/>
      <c r="C34" s="454"/>
      <c r="D34" s="456"/>
      <c r="E34" s="456"/>
      <c r="F34" s="456"/>
      <c r="G34" s="452"/>
      <c r="J34" s="120"/>
      <c r="K34" s="120"/>
      <c r="L34" s="120"/>
      <c r="M34" s="120"/>
      <c r="N34" s="120"/>
      <c r="O34" s="120"/>
      <c r="P34" s="120"/>
      <c r="Q34" s="120"/>
    </row>
    <row r="35" spans="1:21" ht="15">
      <c r="A35" s="149"/>
      <c r="E35" s="128"/>
      <c r="J35" s="120"/>
      <c r="K35" s="120"/>
      <c r="L35" s="120"/>
      <c r="M35" s="120"/>
      <c r="N35" s="120"/>
      <c r="O35" s="120"/>
      <c r="P35" s="120"/>
      <c r="Q35" s="120"/>
      <c r="R35" s="119"/>
      <c r="S35" s="119"/>
      <c r="T35" s="119"/>
      <c r="U35" s="119"/>
    </row>
    <row r="36" spans="1:21" ht="15">
      <c r="A36" s="151" t="s">
        <v>16</v>
      </c>
      <c r="B36" s="1" t="s">
        <v>35</v>
      </c>
      <c r="C36" s="1" t="s">
        <v>17</v>
      </c>
      <c r="D36" s="16" t="s">
        <v>0</v>
      </c>
      <c r="E36" s="16" t="s">
        <v>53</v>
      </c>
      <c r="F36" s="16" t="s">
        <v>1</v>
      </c>
      <c r="G36" s="17"/>
      <c r="H36" s="1" t="s">
        <v>25</v>
      </c>
      <c r="K36" s="120"/>
      <c r="L36" s="120"/>
      <c r="M36" s="120"/>
      <c r="N36" s="120"/>
      <c r="O36" s="120"/>
      <c r="P36" s="120"/>
      <c r="Q36" s="120"/>
      <c r="R36" s="119"/>
      <c r="S36" s="119"/>
      <c r="T36" s="119"/>
      <c r="U36" s="119"/>
    </row>
    <row r="37" spans="1:21" ht="15">
      <c r="A37" s="40">
        <v>6</v>
      </c>
      <c r="B37" s="28" t="str">
        <f>VLOOKUP(A:A,'Food Database'!B:C,2,FALSE)</f>
        <v>Beans (reduced salt)</v>
      </c>
      <c r="C37" s="24">
        <f>VLOOKUP(A:A,'Food Database'!B:E,4,FALSE)</f>
        <v>200</v>
      </c>
      <c r="D37" s="29">
        <f>VLOOKUP(A:A,'Food Database'!B:F,5,FALSE)</f>
        <v>9.2</v>
      </c>
      <c r="E37" s="29">
        <f>VLOOKUP(A:A,'Food Database'!B:G,6,FALSE)</f>
        <v>21.5</v>
      </c>
      <c r="F37" s="29">
        <f>VLOOKUP(A:A,'Food Database'!B:H,7,FALSE)</f>
        <v>0.4</v>
      </c>
      <c r="H37" s="24" t="str">
        <f>VLOOKUP(A:A,'Food Database'!B:H,3,FALSE)</f>
        <v>Grams</v>
      </c>
      <c r="K37" s="120"/>
      <c r="L37" s="120"/>
      <c r="M37" s="120"/>
      <c r="N37" s="120"/>
      <c r="O37" s="120"/>
      <c r="P37" s="120"/>
      <c r="Q37" s="120"/>
      <c r="R37" s="123"/>
      <c r="S37" s="123"/>
      <c r="T37" s="123"/>
      <c r="U37" s="123"/>
    </row>
    <row r="38" spans="1:21" ht="15">
      <c r="A38" s="40">
        <v>10</v>
      </c>
      <c r="B38" s="28" t="str">
        <f>VLOOKUP(A:A,'Food Database'!B:C,2,FALSE)</f>
        <v>Egg 56g</v>
      </c>
      <c r="C38" s="24">
        <f>VLOOKUP(A:A,'Food Database'!B:E,4,FALSE)</f>
        <v>1</v>
      </c>
      <c r="D38" s="29">
        <f>VLOOKUP(A:A,'Food Database'!B:F,5,FALSE)</f>
        <v>7.28</v>
      </c>
      <c r="E38" s="29">
        <f>VLOOKUP(A:A,'Food Database'!B:G,6,FALSE)</f>
        <v>0.56</v>
      </c>
      <c r="F38" s="29">
        <f>VLOOKUP(A:A,'Food Database'!B:H,7,FALSE)</f>
        <v>5.6</v>
      </c>
      <c r="H38" s="24" t="str">
        <f>VLOOKUP(A:A,'Food Database'!B:H,3,FALSE)</f>
        <v>One</v>
      </c>
      <c r="K38" s="120"/>
      <c r="L38" s="120"/>
      <c r="M38" s="120"/>
      <c r="N38" s="120"/>
      <c r="O38" s="120"/>
      <c r="P38" s="120"/>
      <c r="Q38" s="120"/>
      <c r="R38" s="123"/>
      <c r="S38" s="123"/>
      <c r="T38" s="123"/>
      <c r="U38" s="123"/>
    </row>
    <row r="39" spans="1:17" ht="15">
      <c r="A39" s="40">
        <v>23</v>
      </c>
      <c r="B39" s="28" t="str">
        <f>VLOOKUP(A:A,'Food Database'!B:C,2,FALSE)</f>
        <v>Rapeseed Oil</v>
      </c>
      <c r="C39" s="24">
        <f>VLOOKUP(A:A,'Food Database'!B:E,4,FALSE)</f>
        <v>100</v>
      </c>
      <c r="D39" s="29">
        <f>VLOOKUP(A:A,'Food Database'!B:F,5,FALSE)</f>
        <v>0</v>
      </c>
      <c r="E39" s="29">
        <f>VLOOKUP(A:A,'Food Database'!B:G,6,FALSE)</f>
        <v>0</v>
      </c>
      <c r="F39" s="29">
        <f>VLOOKUP(A:A,'Food Database'!B:H,7,FALSE)</f>
        <v>100</v>
      </c>
      <c r="H39" s="24" t="str">
        <f>VLOOKUP(A:A,'Food Database'!B:H,3,FALSE)</f>
        <v>Grams</v>
      </c>
      <c r="K39" s="120"/>
      <c r="L39" s="120"/>
      <c r="M39" s="120"/>
      <c r="N39" s="120"/>
      <c r="O39" s="120"/>
      <c r="P39" s="120"/>
      <c r="Q39" s="120"/>
    </row>
    <row r="40" spans="1:21" ht="15">
      <c r="A40" s="40">
        <v>13</v>
      </c>
      <c r="B40" s="28" t="str">
        <f>VLOOKUP(A:A,'Food Database'!B:C,2,FALSE)</f>
        <v>Lactose Free Milk Semi</v>
      </c>
      <c r="C40" s="24">
        <f>VLOOKUP(A:A,'Food Database'!B:E,4,FALSE)</f>
        <v>100</v>
      </c>
      <c r="D40" s="29">
        <f>VLOOKUP(A:A,'Food Database'!B:F,5,FALSE)</f>
        <v>3.6</v>
      </c>
      <c r="E40" s="29">
        <f>VLOOKUP(A:A,'Food Database'!B:G,6,FALSE)</f>
        <v>2.6</v>
      </c>
      <c r="F40" s="29">
        <f>VLOOKUP(A:A,'Food Database'!B:H,7,FALSE)</f>
        <v>1.7</v>
      </c>
      <c r="H40" s="24" t="str">
        <f>VLOOKUP(A:A,'Food Database'!B:H,3,FALSE)</f>
        <v>Grams</v>
      </c>
      <c r="K40" s="120"/>
      <c r="L40" s="120"/>
      <c r="M40" s="120"/>
      <c r="N40" s="120"/>
      <c r="O40" s="120"/>
      <c r="P40" s="120"/>
      <c r="Q40" s="120"/>
      <c r="R40" s="119"/>
      <c r="S40" s="119"/>
      <c r="T40" s="119"/>
      <c r="U40" s="119"/>
    </row>
    <row r="41" spans="1:21" ht="15">
      <c r="A41" s="40">
        <v>26</v>
      </c>
      <c r="B41" s="28" t="str">
        <f>VLOOKUP(A:A,'Food Database'!B:C,2,FALSE)</f>
        <v>Grated cheese light</v>
      </c>
      <c r="C41" s="24">
        <f>VLOOKUP(A:A,'Food Database'!B:E,4,FALSE)</f>
        <v>100</v>
      </c>
      <c r="D41" s="29">
        <f>VLOOKUP(A:A,'Food Database'!B:F,5,FALSE)</f>
        <v>26</v>
      </c>
      <c r="E41" s="29">
        <f>VLOOKUP(A:A,'Food Database'!B:G,6,FALSE)</f>
        <v>1.4</v>
      </c>
      <c r="F41" s="29">
        <f>VLOOKUP(A:A,'Food Database'!B:H,7,FALSE)</f>
        <v>22</v>
      </c>
      <c r="H41" s="24" t="str">
        <f>VLOOKUP(A:A,'Food Database'!B:H,3,FALSE)</f>
        <v>Grams</v>
      </c>
      <c r="K41" s="120"/>
      <c r="L41" s="120"/>
      <c r="M41" s="120"/>
      <c r="N41" s="120"/>
      <c r="O41" s="120"/>
      <c r="P41" s="120"/>
      <c r="Q41" s="120"/>
      <c r="R41" s="123"/>
      <c r="S41" s="123"/>
      <c r="T41" s="123"/>
      <c r="U41" s="123"/>
    </row>
    <row r="42" spans="1:21" ht="15">
      <c r="A42" s="40">
        <v>9</v>
      </c>
      <c r="B42" s="28" t="str">
        <f>VLOOKUP(A:A,'Food Database'!B:C,2,FALSE)</f>
        <v>Diced Onion</v>
      </c>
      <c r="C42" s="24">
        <f>VLOOKUP(A:A,'Food Database'!B:E,4,FALSE)</f>
        <v>100</v>
      </c>
      <c r="D42" s="29">
        <f>VLOOKUP(A:A,'Food Database'!B:F,5,FALSE)</f>
        <v>1.2</v>
      </c>
      <c r="E42" s="29">
        <f>VLOOKUP(A:A,'Food Database'!B:G,6,FALSE)</f>
        <v>7.9</v>
      </c>
      <c r="F42" s="29">
        <f>VLOOKUP(A:A,'Food Database'!B:H,7,FALSE)</f>
        <v>0.2</v>
      </c>
      <c r="H42" s="24" t="str">
        <f>VLOOKUP(A:A,'Food Database'!B:H,3,FALSE)</f>
        <v>Grams</v>
      </c>
      <c r="K42" s="120"/>
      <c r="L42" s="120"/>
      <c r="M42" s="120"/>
      <c r="N42" s="120"/>
      <c r="O42" s="120"/>
      <c r="P42" s="120"/>
      <c r="Q42" s="120"/>
      <c r="R42" s="123"/>
      <c r="S42" s="123"/>
      <c r="T42" s="123"/>
      <c r="U42" s="123"/>
    </row>
    <row r="43" spans="1:21" ht="15">
      <c r="A43" s="40"/>
      <c r="B43" s="28">
        <f>VLOOKUP(A:A,'Food Database'!B:C,2,FALSE)</f>
        <v>0</v>
      </c>
      <c r="C43" s="24">
        <f>VLOOKUP(A:A,'Food Database'!B:E,4,FALSE)</f>
        <v>100</v>
      </c>
      <c r="D43" s="29">
        <f>VLOOKUP(A:A,'Food Database'!B:F,5,FALSE)</f>
        <v>0</v>
      </c>
      <c r="E43" s="29">
        <f>VLOOKUP(A:A,'Food Database'!B:G,6,FALSE)</f>
        <v>0</v>
      </c>
      <c r="F43" s="29">
        <f>VLOOKUP(A:A,'Food Database'!B:H,7,FALSE)</f>
        <v>0</v>
      </c>
      <c r="H43" s="24">
        <f>VLOOKUP(A:A,'Food Database'!B:H,3,FALSE)</f>
        <v>0</v>
      </c>
      <c r="K43" s="120"/>
      <c r="L43" s="120"/>
      <c r="M43" s="120"/>
      <c r="N43" s="120"/>
      <c r="O43" s="120"/>
      <c r="P43" s="120"/>
      <c r="Q43" s="120"/>
      <c r="R43" s="123"/>
      <c r="S43" s="123"/>
      <c r="T43" s="123"/>
      <c r="U43" s="123"/>
    </row>
    <row r="44" spans="1:17" ht="15.75" thickBot="1">
      <c r="A44" s="41"/>
      <c r="B44" s="30">
        <f>VLOOKUP(A:A,'Food Database'!B:C,2,FALSE)</f>
        <v>0</v>
      </c>
      <c r="C44" s="31">
        <f>VLOOKUP(A:A,'Food Database'!B:E,4,FALSE)</f>
        <v>100</v>
      </c>
      <c r="D44" s="32">
        <f>VLOOKUP(A:A,'Food Database'!B:F,5,FALSE)</f>
        <v>0</v>
      </c>
      <c r="E44" s="32">
        <f>VLOOKUP(A:A,'Food Database'!B:G,6,FALSE)</f>
        <v>0</v>
      </c>
      <c r="F44" s="32">
        <f>VLOOKUP(A:A,'Food Database'!B:H,7,FALSE)</f>
        <v>0</v>
      </c>
      <c r="G44" s="33"/>
      <c r="H44" s="31">
        <f>VLOOKUP(A:A,'Food Database'!B:H,3,FALSE)</f>
        <v>0</v>
      </c>
      <c r="K44" s="120"/>
      <c r="L44" s="120"/>
      <c r="M44" s="120"/>
      <c r="N44" s="120"/>
      <c r="O44" s="120"/>
      <c r="P44" s="120"/>
      <c r="Q44" s="120"/>
    </row>
    <row r="45" spans="1:21" s="92" customFormat="1" ht="15" customHeight="1">
      <c r="A45" s="148"/>
      <c r="B45" s="91"/>
      <c r="C45" s="91"/>
      <c r="D45" s="99"/>
      <c r="E45" s="99"/>
      <c r="F45" s="99"/>
      <c r="G45" s="96"/>
      <c r="H45" s="91"/>
      <c r="I45" s="97"/>
      <c r="J45" s="120"/>
      <c r="K45" s="120"/>
      <c r="L45" s="120"/>
      <c r="M45" s="120"/>
      <c r="N45" s="120"/>
      <c r="O45" s="120"/>
      <c r="P45" s="120"/>
      <c r="Q45" s="120"/>
      <c r="R45" s="123"/>
      <c r="S45" s="123"/>
      <c r="T45" s="123"/>
      <c r="U45" s="123"/>
    </row>
    <row r="46" spans="1:19" ht="30">
      <c r="A46" s="149"/>
      <c r="B46" s="18" t="str">
        <f>Totals!G20</f>
        <v>Meal 2</v>
      </c>
      <c r="C46" s="11" t="str">
        <f ca="1">MID(CELL("Filename",A47),FIND("]",CELL("Filename",A47))+1,255)</f>
        <v>Day4</v>
      </c>
      <c r="D46" s="115" t="str">
        <f>D14</f>
        <v>Calories left to use =</v>
      </c>
      <c r="E46" s="130">
        <f>E14</f>
        <v>243.13987142326278</v>
      </c>
      <c r="I46" s="15"/>
      <c r="J46" s="120"/>
      <c r="K46" s="120"/>
      <c r="L46" s="120"/>
      <c r="M46" s="120"/>
      <c r="N46" s="120"/>
      <c r="O46" s="120"/>
      <c r="P46" s="120"/>
      <c r="Q46" s="120"/>
      <c r="R46" s="120"/>
      <c r="S46" s="120"/>
    </row>
    <row r="47" spans="1:19" s="92" customFormat="1" ht="14.25" customHeight="1">
      <c r="A47" s="148"/>
      <c r="D47" s="95"/>
      <c r="E47" s="95"/>
      <c r="F47" s="95"/>
      <c r="G47" s="96"/>
      <c r="H47" s="97"/>
      <c r="I47" s="97"/>
      <c r="J47" s="120"/>
      <c r="K47" s="120"/>
      <c r="L47" s="120"/>
      <c r="M47" s="120"/>
      <c r="N47" s="120"/>
      <c r="O47" s="120"/>
      <c r="P47" s="120"/>
      <c r="Q47" s="120"/>
      <c r="R47" s="120"/>
      <c r="S47" s="120"/>
    </row>
    <row r="48" spans="1:19" ht="15">
      <c r="A48" s="149"/>
      <c r="B48" s="20" t="s">
        <v>35</v>
      </c>
      <c r="C48" s="20" t="s">
        <v>17</v>
      </c>
      <c r="D48" s="21" t="s">
        <v>0</v>
      </c>
      <c r="E48" s="21" t="s">
        <v>53</v>
      </c>
      <c r="F48" s="21" t="s">
        <v>1</v>
      </c>
      <c r="H48" s="129" t="s">
        <v>61</v>
      </c>
      <c r="I48" s="2"/>
      <c r="J48" s="2"/>
      <c r="K48" s="120"/>
      <c r="L48" s="23"/>
      <c r="N48" s="120"/>
      <c r="O48" s="120"/>
      <c r="P48" s="120"/>
      <c r="Q48" s="120"/>
      <c r="R48" s="120"/>
      <c r="S48" s="120"/>
    </row>
    <row r="49" spans="1:19" ht="15">
      <c r="A49" s="449"/>
      <c r="B49" s="460" t="str">
        <f>B69</f>
        <v>Almond Milk</v>
      </c>
      <c r="C49" s="461">
        <v>35</v>
      </c>
      <c r="D49" s="455">
        <f>SUM(C49*(D69/C69))</f>
        <v>0.14</v>
      </c>
      <c r="E49" s="455">
        <f>SUM(C49*(E69/C69))</f>
        <v>1.4000000000000001</v>
      </c>
      <c r="F49" s="455">
        <f>SUM(C49*(F69/C69))</f>
        <v>0.31500000000000006</v>
      </c>
      <c r="H49" s="35" t="s">
        <v>70</v>
      </c>
      <c r="I49" s="25">
        <f>IF(ISERROR(SUM(D65*4)/SUM(D65*4+E65*4+F65*9)),0,SUM(D65*4)/SUM(D65*4+E65*4+F65*9))</f>
        <v>0.28209565317220164</v>
      </c>
      <c r="J49" s="142" t="str">
        <f>CONCATENATE(ROUND(D65,1)," ","g")</f>
        <v>67 g</v>
      </c>
      <c r="K49" s="120"/>
      <c r="L49" s="23"/>
      <c r="N49" s="120"/>
      <c r="O49" s="120"/>
      <c r="P49" s="120"/>
      <c r="Q49" s="120"/>
      <c r="R49" s="120"/>
      <c r="S49" s="120"/>
    </row>
    <row r="50" spans="1:12" ht="15">
      <c r="A50" s="449"/>
      <c r="B50" s="450"/>
      <c r="C50" s="458"/>
      <c r="D50" s="457"/>
      <c r="E50" s="457"/>
      <c r="F50" s="457"/>
      <c r="H50" s="35" t="s">
        <v>71</v>
      </c>
      <c r="I50" s="25">
        <f>IF(ISERROR(SUM(E65*4)/SUM(D65*4+E65*4+F65*9)),0,SUM(E65*4)/SUM(D65*4+E65*4+F65*9))</f>
        <v>0.42163313325279556</v>
      </c>
      <c r="J50" s="142" t="str">
        <f>CONCATENATE(ROUND(E65,1)," ","g")</f>
        <v>100.1 g</v>
      </c>
      <c r="L50" s="23"/>
    </row>
    <row r="51" spans="1:12" ht="15">
      <c r="A51" s="449"/>
      <c r="B51" s="450" t="str">
        <f>B70</f>
        <v>Almonds</v>
      </c>
      <c r="C51" s="458">
        <v>10</v>
      </c>
      <c r="D51" s="457">
        <f>SUM(C51*(D70/C70))</f>
        <v>2.1899999999999995</v>
      </c>
      <c r="E51" s="457">
        <f>SUM(C51*(E70/C70))</f>
        <v>1.9899999999999998</v>
      </c>
      <c r="F51" s="457">
        <f>SUM(C51*(F70/C70))</f>
        <v>5.0600000000000005</v>
      </c>
      <c r="H51" s="35" t="s">
        <v>72</v>
      </c>
      <c r="I51" s="25">
        <f>IF(ISERROR(SUM(F65*9)/SUM(D65*4+E65*4+F65*9)),0,SUM(F65*9)/SUM(D65*4+E65*4+F65*9))</f>
        <v>0.2962712135750028</v>
      </c>
      <c r="J51" s="142" t="str">
        <f>CONCATENATE(ROUND(F65,1)," ","g")</f>
        <v>31.3 g</v>
      </c>
      <c r="L51" s="23"/>
    </row>
    <row r="52" spans="1:12" ht="15">
      <c r="A52" s="449"/>
      <c r="B52" s="450"/>
      <c r="C52" s="458"/>
      <c r="D52" s="457"/>
      <c r="E52" s="457"/>
      <c r="F52" s="457"/>
      <c r="H52" s="35" t="s">
        <v>73</v>
      </c>
      <c r="I52" s="26">
        <f>D65*4+E65*4+F65*9</f>
        <v>949.451</v>
      </c>
      <c r="J52" s="120"/>
      <c r="L52" s="23"/>
    </row>
    <row r="53" spans="1:12" ht="15">
      <c r="A53" s="449"/>
      <c r="B53" s="450" t="str">
        <f>B71</f>
        <v>Protein Powder</v>
      </c>
      <c r="C53" s="458">
        <v>60</v>
      </c>
      <c r="D53" s="457">
        <f>SUM(C53*(D71/C71))</f>
        <v>45.263999999999996</v>
      </c>
      <c r="E53" s="457">
        <f>SUM(C53*(E71/C71))</f>
        <v>3.5999999999999996</v>
      </c>
      <c r="F53" s="457">
        <f>SUM(C53*(F71/C71))</f>
        <v>4.08</v>
      </c>
      <c r="H53" s="12">
        <f>SUM(D65*4)</f>
        <v>267.836</v>
      </c>
      <c r="L53" s="23"/>
    </row>
    <row r="54" spans="1:8" ht="15">
      <c r="A54" s="449"/>
      <c r="B54" s="450"/>
      <c r="C54" s="458"/>
      <c r="D54" s="457"/>
      <c r="E54" s="457"/>
      <c r="F54" s="457"/>
      <c r="H54" s="12">
        <f>SUM(E65*4)</f>
        <v>400.32</v>
      </c>
    </row>
    <row r="55" spans="1:8" ht="15">
      <c r="A55" s="449"/>
      <c r="B55" s="450" t="str">
        <f>B72</f>
        <v>Oats</v>
      </c>
      <c r="C55" s="458">
        <v>50</v>
      </c>
      <c r="D55" s="457">
        <f>SUM(C55*(D72/C72))</f>
        <v>6.25</v>
      </c>
      <c r="E55" s="457">
        <f>SUM(C55*(E72/C72))</f>
        <v>34.15</v>
      </c>
      <c r="F55" s="457">
        <f>SUM(C55*(F72/C72))</f>
        <v>3.2</v>
      </c>
      <c r="H55" s="12">
        <f>SUM(F65*9)</f>
        <v>281.295</v>
      </c>
    </row>
    <row r="56" spans="1:6" ht="15">
      <c r="A56" s="449"/>
      <c r="B56" s="450"/>
      <c r="C56" s="458"/>
      <c r="D56" s="457"/>
      <c r="E56" s="457"/>
      <c r="F56" s="457"/>
    </row>
    <row r="57" spans="1:6" ht="15">
      <c r="A57" s="449"/>
      <c r="B57" s="450" t="str">
        <f>B73</f>
        <v>Peanut Butter</v>
      </c>
      <c r="C57" s="458">
        <v>40</v>
      </c>
      <c r="D57" s="457">
        <f>SUM(C57*(D73/C73))</f>
        <v>11.840000000000002</v>
      </c>
      <c r="E57" s="457">
        <f>SUM(C57*(E73/C73))</f>
        <v>4.64</v>
      </c>
      <c r="F57" s="457">
        <f>SUM(C57*(F73/C73))</f>
        <v>18.400000000000002</v>
      </c>
    </row>
    <row r="58" spans="1:10" ht="15">
      <c r="A58" s="449"/>
      <c r="B58" s="450"/>
      <c r="C58" s="458"/>
      <c r="D58" s="457"/>
      <c r="E58" s="457"/>
      <c r="F58" s="457"/>
      <c r="J58" s="10"/>
    </row>
    <row r="59" spans="1:10" ht="15">
      <c r="A59" s="449"/>
      <c r="B59" s="450" t="str">
        <f>B74</f>
        <v>organic honey</v>
      </c>
      <c r="C59" s="458">
        <v>25</v>
      </c>
      <c r="D59" s="457">
        <f>SUM(C59*(D74/C74))</f>
        <v>0.125</v>
      </c>
      <c r="E59" s="457">
        <f>SUM(C59*(E74/C74))</f>
        <v>20.25</v>
      </c>
      <c r="F59" s="457">
        <f>SUM(C59*(F74/C74))</f>
        <v>0</v>
      </c>
      <c r="J59" s="10"/>
    </row>
    <row r="60" spans="1:10" ht="15">
      <c r="A60" s="449"/>
      <c r="B60" s="450"/>
      <c r="C60" s="458"/>
      <c r="D60" s="457"/>
      <c r="E60" s="457"/>
      <c r="F60" s="457"/>
      <c r="H60" s="12"/>
      <c r="J60" s="10"/>
    </row>
    <row r="61" spans="1:10" ht="15">
      <c r="A61" s="449"/>
      <c r="B61" s="450" t="str">
        <f>B75</f>
        <v>Dried Mixed Fruit</v>
      </c>
      <c r="C61" s="458">
        <v>50</v>
      </c>
      <c r="D61" s="457">
        <f>SUM(C61*(D75/C75))</f>
        <v>1.15</v>
      </c>
      <c r="E61" s="457">
        <f>SUM(C61*(E75/C75))</f>
        <v>34.05</v>
      </c>
      <c r="F61" s="457">
        <f>SUM(C61*(F75/C75))</f>
        <v>0.2</v>
      </c>
      <c r="H61" s="12"/>
      <c r="J61" s="10"/>
    </row>
    <row r="62" spans="1:10" ht="15">
      <c r="A62" s="449"/>
      <c r="B62" s="450"/>
      <c r="C62" s="458"/>
      <c r="D62" s="457"/>
      <c r="E62" s="457"/>
      <c r="F62" s="457"/>
      <c r="H62" s="12"/>
      <c r="J62" s="10"/>
    </row>
    <row r="63" spans="1:10" ht="15">
      <c r="A63" s="449"/>
      <c r="B63" s="450">
        <f>B76</f>
        <v>0</v>
      </c>
      <c r="C63" s="458"/>
      <c r="D63" s="457">
        <f>SUM(C63*(D76/C76))</f>
        <v>0</v>
      </c>
      <c r="E63" s="457">
        <f>SUM(C63*(E76/C76))</f>
        <v>0</v>
      </c>
      <c r="F63" s="457">
        <f>SUM(C63*(F76/C76))</f>
        <v>0</v>
      </c>
      <c r="G63" s="13"/>
      <c r="J63" s="10"/>
    </row>
    <row r="64" spans="1:10" ht="15">
      <c r="A64" s="449"/>
      <c r="B64" s="450"/>
      <c r="C64" s="459"/>
      <c r="D64" s="456"/>
      <c r="E64" s="456"/>
      <c r="F64" s="456"/>
      <c r="J64" s="10"/>
    </row>
    <row r="65" spans="1:10" ht="15">
      <c r="A65" s="150"/>
      <c r="B65" s="2"/>
      <c r="C65" s="453" t="s">
        <v>2</v>
      </c>
      <c r="D65" s="455">
        <f>SUM(D49:D64)</f>
        <v>66.959</v>
      </c>
      <c r="E65" s="455">
        <f>SUM(E49:E64)</f>
        <v>100.08</v>
      </c>
      <c r="F65" s="455">
        <f>SUM(F49:F64)</f>
        <v>31.255000000000003</v>
      </c>
      <c r="G65" s="452"/>
      <c r="J65" s="10"/>
    </row>
    <row r="66" spans="1:10" ht="15">
      <c r="A66" s="149"/>
      <c r="B66" s="27"/>
      <c r="C66" s="454"/>
      <c r="D66" s="456"/>
      <c r="E66" s="456"/>
      <c r="F66" s="456"/>
      <c r="G66" s="452"/>
      <c r="J66" s="10"/>
    </row>
    <row r="67" spans="1:10" ht="15">
      <c r="A67" s="149"/>
      <c r="E67" s="128"/>
      <c r="J67" s="10"/>
    </row>
    <row r="68" spans="1:10" ht="15">
      <c r="A68" s="151" t="s">
        <v>16</v>
      </c>
      <c r="B68" s="1" t="s">
        <v>35</v>
      </c>
      <c r="C68" s="1" t="s">
        <v>17</v>
      </c>
      <c r="D68" s="16" t="s">
        <v>0</v>
      </c>
      <c r="E68" s="16" t="s">
        <v>53</v>
      </c>
      <c r="F68" s="16" t="s">
        <v>1</v>
      </c>
      <c r="G68" s="17"/>
      <c r="H68" s="1" t="s">
        <v>25</v>
      </c>
      <c r="J68" s="10"/>
    </row>
    <row r="69" spans="1:10" ht="15">
      <c r="A69" s="40">
        <v>1</v>
      </c>
      <c r="B69" s="28" t="str">
        <f>VLOOKUP(A:A,'Food Database'!B:C,2,FALSE)</f>
        <v>Almond Milk</v>
      </c>
      <c r="C69" s="24">
        <f>VLOOKUP(A:A,'Food Database'!B:E,4,FALSE)</f>
        <v>100</v>
      </c>
      <c r="D69" s="29">
        <f>VLOOKUP(A:A,'Food Database'!B:F,5,FALSE)</f>
        <v>0.4</v>
      </c>
      <c r="E69" s="29">
        <f>VLOOKUP(A:A,'Food Database'!B:G,6,FALSE)</f>
        <v>4</v>
      </c>
      <c r="F69" s="29">
        <f>VLOOKUP(A:A,'Food Database'!B:H,7,FALSE)</f>
        <v>0.9</v>
      </c>
      <c r="H69" s="24" t="str">
        <f>VLOOKUP(A:A,'Food Database'!B:H,3,FALSE)</f>
        <v>Milileters</v>
      </c>
      <c r="J69" s="10"/>
    </row>
    <row r="70" spans="1:10" ht="15">
      <c r="A70" s="40">
        <v>2</v>
      </c>
      <c r="B70" s="28" t="str">
        <f>VLOOKUP(A:A,'Food Database'!B:C,2,FALSE)</f>
        <v>Almonds</v>
      </c>
      <c r="C70" s="24">
        <f>VLOOKUP(A:A,'Food Database'!B:E,4,FALSE)</f>
        <v>100</v>
      </c>
      <c r="D70" s="29">
        <f>VLOOKUP(A:A,'Food Database'!B:F,5,FALSE)</f>
        <v>21.9</v>
      </c>
      <c r="E70" s="29">
        <f>VLOOKUP(A:A,'Food Database'!B:G,6,FALSE)</f>
        <v>19.9</v>
      </c>
      <c r="F70" s="29">
        <f>VLOOKUP(A:A,'Food Database'!B:H,7,FALSE)</f>
        <v>50.6</v>
      </c>
      <c r="H70" s="24" t="str">
        <f>VLOOKUP(A:A,'Food Database'!B:H,3,FALSE)</f>
        <v>Grams</v>
      </c>
      <c r="J70" s="10"/>
    </row>
    <row r="71" spans="1:10" ht="15">
      <c r="A71" s="40">
        <v>17</v>
      </c>
      <c r="B71" s="28" t="str">
        <f>VLOOKUP(A:A,'Food Database'!B:C,2,FALSE)</f>
        <v>Protein Powder</v>
      </c>
      <c r="C71" s="24">
        <f>VLOOKUP(A:A,'Food Database'!B:E,4,FALSE)</f>
        <v>25</v>
      </c>
      <c r="D71" s="29">
        <f>VLOOKUP(A:A,'Food Database'!B:F,5,FALSE)</f>
        <v>18.86</v>
      </c>
      <c r="E71" s="29">
        <f>VLOOKUP(A:A,'Food Database'!B:G,6,FALSE)</f>
        <v>1.5</v>
      </c>
      <c r="F71" s="29">
        <f>VLOOKUP(A:A,'Food Database'!B:H,7,FALSE)</f>
        <v>1.7</v>
      </c>
      <c r="H71" s="24" t="str">
        <f>VLOOKUP(A:A,'Food Database'!B:H,3,FALSE)</f>
        <v>Grams</v>
      </c>
      <c r="J71" s="10"/>
    </row>
    <row r="72" spans="1:10" ht="15">
      <c r="A72" s="40">
        <v>18</v>
      </c>
      <c r="B72" s="28" t="str">
        <f>VLOOKUP(A:A,'Food Database'!B:C,2,FALSE)</f>
        <v>Oats</v>
      </c>
      <c r="C72" s="24">
        <f>VLOOKUP(A:A,'Food Database'!B:E,4,FALSE)</f>
        <v>100</v>
      </c>
      <c r="D72" s="29">
        <f>VLOOKUP(A:A,'Food Database'!B:F,5,FALSE)</f>
        <v>12.5</v>
      </c>
      <c r="E72" s="29">
        <f>VLOOKUP(A:A,'Food Database'!B:G,6,FALSE)</f>
        <v>68.3</v>
      </c>
      <c r="F72" s="29">
        <f>VLOOKUP(A:A,'Food Database'!B:H,7,FALSE)</f>
        <v>6.4</v>
      </c>
      <c r="H72" s="24" t="str">
        <f>VLOOKUP(A:A,'Food Database'!B:H,3,FALSE)</f>
        <v>Grams</v>
      </c>
      <c r="J72" s="10"/>
    </row>
    <row r="73" spans="1:10" ht="15">
      <c r="A73" s="40">
        <v>20</v>
      </c>
      <c r="B73" s="28" t="str">
        <f>VLOOKUP(A:A,'Food Database'!B:C,2,FALSE)</f>
        <v>Peanut Butter</v>
      </c>
      <c r="C73" s="24">
        <f>VLOOKUP(A:A,'Food Database'!B:E,4,FALSE)</f>
        <v>100</v>
      </c>
      <c r="D73" s="29">
        <f>VLOOKUP(A:A,'Food Database'!B:F,5,FALSE)</f>
        <v>29.6</v>
      </c>
      <c r="E73" s="29">
        <f>VLOOKUP(A:A,'Food Database'!B:G,6,FALSE)</f>
        <v>11.6</v>
      </c>
      <c r="F73" s="29">
        <f>VLOOKUP(A:A,'Food Database'!B:H,7,FALSE)</f>
        <v>46</v>
      </c>
      <c r="H73" s="24" t="str">
        <f>VLOOKUP(A:A,'Food Database'!B:H,3,FALSE)</f>
        <v>Grams</v>
      </c>
      <c r="J73" s="10"/>
    </row>
    <row r="74" spans="1:10" ht="15">
      <c r="A74" s="40">
        <v>28</v>
      </c>
      <c r="B74" s="28" t="str">
        <f>VLOOKUP(A:A,'Food Database'!B:C,2,FALSE)</f>
        <v>organic honey</v>
      </c>
      <c r="C74" s="24">
        <f>VLOOKUP(A:A,'Food Database'!B:E,4,FALSE)</f>
        <v>100</v>
      </c>
      <c r="D74" s="29">
        <f>VLOOKUP(A:A,'Food Database'!B:F,5,FALSE)</f>
        <v>0.5</v>
      </c>
      <c r="E74" s="29">
        <f>VLOOKUP(A:A,'Food Database'!B:G,6,FALSE)</f>
        <v>81</v>
      </c>
      <c r="F74" s="29">
        <f>VLOOKUP(A:A,'Food Database'!B:H,7,FALSE)</f>
        <v>0</v>
      </c>
      <c r="H74" s="24" t="str">
        <f>VLOOKUP(A:A,'Food Database'!B:H,3,FALSE)</f>
        <v>Grams</v>
      </c>
      <c r="J74" s="10"/>
    </row>
    <row r="75" spans="1:10" ht="15">
      <c r="A75" s="40">
        <v>30</v>
      </c>
      <c r="B75" s="28" t="str">
        <f>VLOOKUP(A:A,'Food Database'!B:C,2,FALSE)</f>
        <v>Dried Mixed Fruit</v>
      </c>
      <c r="C75" s="24">
        <f>VLOOKUP(A:A,'Food Database'!B:E,4,FALSE)</f>
        <v>100</v>
      </c>
      <c r="D75" s="29">
        <f>VLOOKUP(A:A,'Food Database'!B:F,5,FALSE)</f>
        <v>2.3</v>
      </c>
      <c r="E75" s="29">
        <f>VLOOKUP(A:A,'Food Database'!B:G,6,FALSE)</f>
        <v>68.1</v>
      </c>
      <c r="F75" s="29">
        <f>VLOOKUP(A:A,'Food Database'!B:H,7,FALSE)</f>
        <v>0.4</v>
      </c>
      <c r="H75" s="24" t="str">
        <f>VLOOKUP(A:A,'Food Database'!B:H,3,FALSE)</f>
        <v>Grams</v>
      </c>
      <c r="J75" s="10"/>
    </row>
    <row r="76" spans="1:9" ht="15.75" thickBot="1">
      <c r="A76" s="41"/>
      <c r="B76" s="30">
        <f>VLOOKUP(A:A,'Food Database'!B:C,2,FALSE)</f>
        <v>0</v>
      </c>
      <c r="C76" s="31">
        <f>VLOOKUP(A:A,'Food Database'!B:E,4,FALSE)</f>
        <v>100</v>
      </c>
      <c r="D76" s="32">
        <f>VLOOKUP(A:A,'Food Database'!B:F,5,FALSE)</f>
        <v>0</v>
      </c>
      <c r="E76" s="32">
        <f>VLOOKUP(A:A,'Food Database'!B:G,6,FALSE)</f>
        <v>0</v>
      </c>
      <c r="F76" s="32">
        <f>VLOOKUP(A:A,'Food Database'!B:H,7,FALSE)</f>
        <v>0</v>
      </c>
      <c r="G76" s="33"/>
      <c r="H76" s="31">
        <f>VLOOKUP(A:A,'Food Database'!B:H,3,FALSE)</f>
        <v>0</v>
      </c>
      <c r="I76" s="34"/>
    </row>
    <row r="77" spans="1:12" s="92" customFormat="1" ht="8.25">
      <c r="A77" s="148"/>
      <c r="B77" s="91"/>
      <c r="C77" s="91"/>
      <c r="D77" s="99"/>
      <c r="E77" s="99"/>
      <c r="F77" s="99"/>
      <c r="G77" s="96"/>
      <c r="H77" s="91"/>
      <c r="I77" s="97"/>
      <c r="J77" s="94"/>
      <c r="K77" s="93"/>
      <c r="L77" s="93"/>
    </row>
    <row r="78" spans="1:9" ht="30">
      <c r="A78" s="149"/>
      <c r="B78" s="18" t="str">
        <f>Totals!G21</f>
        <v>Meal 3</v>
      </c>
      <c r="C78" s="11" t="str">
        <f ca="1">MID(CELL("Filename",A79),FIND("]",CELL("Filename",A79))+1,255)</f>
        <v>Day4</v>
      </c>
      <c r="D78" s="115" t="str">
        <f>D46</f>
        <v>Calories left to use =</v>
      </c>
      <c r="E78" s="130">
        <f>E46</f>
        <v>243.13987142326278</v>
      </c>
      <c r="I78" s="15"/>
    </row>
    <row r="79" spans="1:12" s="92" customFormat="1" ht="8.25">
      <c r="A79" s="148"/>
      <c r="D79" s="95"/>
      <c r="E79" s="95"/>
      <c r="F79" s="95"/>
      <c r="G79" s="96"/>
      <c r="H79" s="97"/>
      <c r="I79" s="97"/>
      <c r="J79" s="98"/>
      <c r="K79" s="93"/>
      <c r="L79" s="93"/>
    </row>
    <row r="80" spans="1:10" ht="15">
      <c r="A80" s="149"/>
      <c r="B80" s="20" t="s">
        <v>35</v>
      </c>
      <c r="C80" s="20" t="s">
        <v>17</v>
      </c>
      <c r="D80" s="21" t="s">
        <v>0</v>
      </c>
      <c r="E80" s="21" t="s">
        <v>53</v>
      </c>
      <c r="F80" s="21" t="s">
        <v>1</v>
      </c>
      <c r="H80" s="129" t="s">
        <v>61</v>
      </c>
      <c r="I80" s="2"/>
      <c r="J80" s="2"/>
    </row>
    <row r="81" spans="1:10" ht="15">
      <c r="A81" s="449"/>
      <c r="B81" s="460" t="str">
        <f>B101</f>
        <v>Chicken breast (raw)</v>
      </c>
      <c r="C81" s="461">
        <v>250</v>
      </c>
      <c r="D81" s="455">
        <f>SUM(C81*(D101/C101))</f>
        <v>57.725</v>
      </c>
      <c r="E81" s="455">
        <f>SUM(C81*(E101/C101))</f>
        <v>0</v>
      </c>
      <c r="F81" s="455">
        <f>SUM(C81*(F101/C101))</f>
        <v>3.1</v>
      </c>
      <c r="H81" s="35" t="s">
        <v>70</v>
      </c>
      <c r="I81" s="25">
        <f>IF(ISERROR(SUM(D97*4)/SUM(D97*4+E97*4+F97*9)),0,SUM(D97*4)/SUM(D97*4+E97*4+F97*9))</f>
        <v>0.5289462489937038</v>
      </c>
      <c r="J81" s="142" t="str">
        <f>CONCATENATE(ROUND(D97,1)," ","g")</f>
        <v>68.4 g</v>
      </c>
    </row>
    <row r="82" spans="1:10" ht="15">
      <c r="A82" s="449"/>
      <c r="B82" s="450"/>
      <c r="C82" s="458"/>
      <c r="D82" s="457"/>
      <c r="E82" s="457"/>
      <c r="F82" s="457"/>
      <c r="H82" s="35" t="s">
        <v>71</v>
      </c>
      <c r="I82" s="25">
        <f>IF(ISERROR(SUM(E97*4)/SUM(D97*4+E97*4+F97*9)),0,SUM(E97*4)/SUM(D97*4+E97*4+F97*9))</f>
        <v>0.3922200814680157</v>
      </c>
      <c r="J82" s="142" t="str">
        <f>CONCATENATE(ROUND(E97,1)," ","g")</f>
        <v>50.7 g</v>
      </c>
    </row>
    <row r="83" spans="1:10" ht="15">
      <c r="A83" s="449"/>
      <c r="B83" s="450" t="str">
        <f>B102</f>
        <v>Baked Potato</v>
      </c>
      <c r="C83" s="458">
        <v>200</v>
      </c>
      <c r="D83" s="457">
        <f>SUM(C83*(D102/C102))</f>
        <v>5.016722408026756</v>
      </c>
      <c r="E83" s="457">
        <f>SUM(C83*(E102/C102))</f>
        <v>42.2742474916388</v>
      </c>
      <c r="F83" s="457">
        <f>SUM(C83*(F102/C102))</f>
        <v>0.2675585284280937</v>
      </c>
      <c r="H83" s="35" t="s">
        <v>72</v>
      </c>
      <c r="I83" s="25">
        <f>IF(ISERROR(SUM(F97*9)/SUM(D97*4+E97*4+F97*9)),0,SUM(F97*9)/SUM(D97*4+E97*4+F97*9))</f>
        <v>0.07883366953828061</v>
      </c>
      <c r="J83" s="142" t="str">
        <f>CONCATENATE(ROUND(F97,1)," ","g")</f>
        <v>4.5 g</v>
      </c>
    </row>
    <row r="84" spans="1:10" ht="15">
      <c r="A84" s="449"/>
      <c r="B84" s="450"/>
      <c r="C84" s="458"/>
      <c r="D84" s="457"/>
      <c r="E84" s="457"/>
      <c r="F84" s="457"/>
      <c r="H84" s="35" t="s">
        <v>73</v>
      </c>
      <c r="I84" s="26">
        <f>D97*4+E97*4+F97*9</f>
        <v>517.456906354515</v>
      </c>
      <c r="J84" s="120"/>
    </row>
    <row r="85" spans="1:8" ht="15">
      <c r="A85" s="449"/>
      <c r="B85" s="450" t="str">
        <f>B103</f>
        <v>Tomato sauce</v>
      </c>
      <c r="C85" s="458">
        <v>15</v>
      </c>
      <c r="D85" s="457">
        <f>SUM(C85*(D103/C103))</f>
        <v>0.135</v>
      </c>
      <c r="E85" s="457">
        <f>SUM(C85*(E103/C103))</f>
        <v>3.615</v>
      </c>
      <c r="F85" s="457">
        <f>SUM(C85*(F103/C103))</f>
        <v>0.015</v>
      </c>
      <c r="H85" s="12"/>
    </row>
    <row r="86" spans="1:8" ht="15">
      <c r="A86" s="449"/>
      <c r="B86" s="450"/>
      <c r="C86" s="458"/>
      <c r="D86" s="457"/>
      <c r="E86" s="457"/>
      <c r="F86" s="457"/>
      <c r="H86" s="12"/>
    </row>
    <row r="87" spans="1:8" ht="15">
      <c r="A87" s="449"/>
      <c r="B87" s="450" t="str">
        <f>B104</f>
        <v>Peas</v>
      </c>
      <c r="C87" s="458">
        <v>50</v>
      </c>
      <c r="D87" s="457">
        <f>SUM(C87*(D104/C104))</f>
        <v>2.45</v>
      </c>
      <c r="E87" s="457">
        <f>SUM(C87*(E104/C104))</f>
        <v>3.75</v>
      </c>
      <c r="F87" s="457">
        <f>SUM(C87*(F104/C104))</f>
        <v>0.35</v>
      </c>
      <c r="H87" s="12"/>
    </row>
    <row r="88" spans="1:6" ht="15">
      <c r="A88" s="449"/>
      <c r="B88" s="450"/>
      <c r="C88" s="458"/>
      <c r="D88" s="457"/>
      <c r="E88" s="457"/>
      <c r="F88" s="457"/>
    </row>
    <row r="89" spans="1:6" ht="15">
      <c r="A89" s="449"/>
      <c r="B89" s="450" t="str">
        <f>B105</f>
        <v>Broccoli, Boiled</v>
      </c>
      <c r="C89" s="458">
        <v>100</v>
      </c>
      <c r="D89" s="457">
        <f>SUM(C89*(D105/C105))</f>
        <v>3.1</v>
      </c>
      <c r="E89" s="457">
        <f>SUM(C89*(E105/C105))</f>
        <v>1.1</v>
      </c>
      <c r="F89" s="457">
        <f>SUM(C89*(F105/C105))</f>
        <v>0.8</v>
      </c>
    </row>
    <row r="90" spans="1:10" ht="15">
      <c r="A90" s="449"/>
      <c r="B90" s="450"/>
      <c r="C90" s="458"/>
      <c r="D90" s="457"/>
      <c r="E90" s="457"/>
      <c r="F90" s="457"/>
      <c r="J90" s="10"/>
    </row>
    <row r="91" spans="1:10" ht="15">
      <c r="A91" s="449"/>
      <c r="B91" s="450">
        <f>B106</f>
        <v>0</v>
      </c>
      <c r="C91" s="458"/>
      <c r="D91" s="457">
        <f>SUM(C91*(D106/C106))</f>
        <v>0</v>
      </c>
      <c r="E91" s="457">
        <f>SUM(C91*(E106/C106))</f>
        <v>0</v>
      </c>
      <c r="F91" s="457">
        <f>SUM(C91*(F106/C106))</f>
        <v>0</v>
      </c>
      <c r="J91" s="10"/>
    </row>
    <row r="92" spans="1:10" ht="15">
      <c r="A92" s="449"/>
      <c r="B92" s="450"/>
      <c r="C92" s="458"/>
      <c r="D92" s="457"/>
      <c r="E92" s="457"/>
      <c r="F92" s="457"/>
      <c r="H92" s="12"/>
      <c r="J92" s="10"/>
    </row>
    <row r="93" spans="1:10" ht="15">
      <c r="A93" s="449"/>
      <c r="B93" s="450">
        <f>B107</f>
        <v>0</v>
      </c>
      <c r="C93" s="458"/>
      <c r="D93" s="457">
        <f>SUM(C93*(D107/C107))</f>
        <v>0</v>
      </c>
      <c r="E93" s="457">
        <f>SUM(C93*(E107/C107))</f>
        <v>0</v>
      </c>
      <c r="F93" s="457">
        <f>SUM(C93*(F107/C107))</f>
        <v>0</v>
      </c>
      <c r="H93" s="12"/>
      <c r="J93" s="10"/>
    </row>
    <row r="94" spans="1:10" ht="15">
      <c r="A94" s="449"/>
      <c r="B94" s="450"/>
      <c r="C94" s="458"/>
      <c r="D94" s="457"/>
      <c r="E94" s="457"/>
      <c r="F94" s="457"/>
      <c r="H94" s="12"/>
      <c r="J94" s="10"/>
    </row>
    <row r="95" spans="1:10" ht="15">
      <c r="A95" s="449"/>
      <c r="B95" s="450">
        <f>B108</f>
        <v>0</v>
      </c>
      <c r="C95" s="458"/>
      <c r="D95" s="457">
        <f>SUM(C95*(D108/C108))</f>
        <v>0</v>
      </c>
      <c r="E95" s="457">
        <f>SUM(C95*(E108/C108))</f>
        <v>0</v>
      </c>
      <c r="F95" s="457">
        <f>SUM(C95*(F108/C108))</f>
        <v>0</v>
      </c>
      <c r="G95" s="13"/>
      <c r="J95" s="10"/>
    </row>
    <row r="96" spans="1:10" ht="15">
      <c r="A96" s="449"/>
      <c r="B96" s="450"/>
      <c r="C96" s="459"/>
      <c r="D96" s="456"/>
      <c r="E96" s="456"/>
      <c r="F96" s="456"/>
      <c r="J96" s="10"/>
    </row>
    <row r="97" spans="1:10" ht="15">
      <c r="A97" s="150"/>
      <c r="B97" s="2"/>
      <c r="C97" s="453" t="s">
        <v>2</v>
      </c>
      <c r="D97" s="455">
        <f>SUM(D81:D96)</f>
        <v>68.42672240802675</v>
      </c>
      <c r="E97" s="455">
        <f>SUM(E81:E96)</f>
        <v>50.73924749163881</v>
      </c>
      <c r="F97" s="455">
        <f>SUM(F81:F96)</f>
        <v>4.532558528428094</v>
      </c>
      <c r="G97" s="452"/>
      <c r="J97" s="10"/>
    </row>
    <row r="98" spans="1:10" ht="15">
      <c r="A98" s="149"/>
      <c r="B98" s="27"/>
      <c r="C98" s="454"/>
      <c r="D98" s="456"/>
      <c r="E98" s="456"/>
      <c r="F98" s="456"/>
      <c r="G98" s="452"/>
      <c r="J98" s="10"/>
    </row>
    <row r="99" spans="1:10" ht="15">
      <c r="A99" s="149"/>
      <c r="E99" s="128"/>
      <c r="J99" s="10"/>
    </row>
    <row r="100" spans="1:10" ht="15">
      <c r="A100" s="151" t="s">
        <v>16</v>
      </c>
      <c r="B100" s="1" t="s">
        <v>35</v>
      </c>
      <c r="C100" s="1" t="s">
        <v>17</v>
      </c>
      <c r="D100" s="16" t="s">
        <v>0</v>
      </c>
      <c r="E100" s="16" t="s">
        <v>53</v>
      </c>
      <c r="F100" s="16" t="s">
        <v>1</v>
      </c>
      <c r="G100" s="17"/>
      <c r="H100" s="1" t="s">
        <v>25</v>
      </c>
      <c r="J100" s="10"/>
    </row>
    <row r="101" spans="1:10" ht="15">
      <c r="A101" s="40">
        <v>8</v>
      </c>
      <c r="B101" s="28" t="str">
        <f>VLOOKUP(A:A,'Food Database'!B:C,2,FALSE)</f>
        <v>Chicken breast (raw)</v>
      </c>
      <c r="C101" s="24">
        <f>VLOOKUP(A:A,'Food Database'!B:E,4,FALSE)</f>
        <v>100</v>
      </c>
      <c r="D101" s="29">
        <f>VLOOKUP(A:A,'Food Database'!B:F,5,FALSE)</f>
        <v>23.09</v>
      </c>
      <c r="E101" s="29">
        <f>VLOOKUP(A:A,'Food Database'!B:G,6,FALSE)</f>
        <v>0</v>
      </c>
      <c r="F101" s="29">
        <f>VLOOKUP(A:A,'Food Database'!B:H,7,FALSE)</f>
        <v>1.24</v>
      </c>
      <c r="H101" s="24" t="str">
        <f>VLOOKUP(A:A,'Food Database'!B:H,3,FALSE)</f>
        <v>Grams</v>
      </c>
      <c r="J101" s="10"/>
    </row>
    <row r="102" spans="1:10" ht="15">
      <c r="A102" s="40">
        <v>4</v>
      </c>
      <c r="B102" s="28" t="str">
        <f>VLOOKUP(A:A,'Food Database'!B:C,2,FALSE)</f>
        <v>Baked Potato</v>
      </c>
      <c r="C102" s="24">
        <f>VLOOKUP(A:A,'Food Database'!B:E,4,FALSE)</f>
        <v>299</v>
      </c>
      <c r="D102" s="29">
        <f>VLOOKUP(A:A,'Food Database'!B:F,5,FALSE)</f>
        <v>7.5</v>
      </c>
      <c r="E102" s="29">
        <f>VLOOKUP(A:A,'Food Database'!B:G,6,FALSE)</f>
        <v>63.2</v>
      </c>
      <c r="F102" s="29">
        <f>VLOOKUP(A:A,'Food Database'!B:H,7,FALSE)</f>
        <v>0.4</v>
      </c>
      <c r="H102" s="24" t="str">
        <f>VLOOKUP(A:A,'Food Database'!B:H,3,FALSE)</f>
        <v>Grams</v>
      </c>
      <c r="J102" s="10"/>
    </row>
    <row r="103" spans="1:10" ht="15">
      <c r="A103" s="40">
        <v>29</v>
      </c>
      <c r="B103" s="28" t="str">
        <f>VLOOKUP(A:A,'Food Database'!B:C,2,FALSE)</f>
        <v>Tomato sauce</v>
      </c>
      <c r="C103" s="24">
        <f>VLOOKUP(A:A,'Food Database'!B:E,4,FALSE)</f>
        <v>100</v>
      </c>
      <c r="D103" s="29">
        <f>VLOOKUP(A:A,'Food Database'!B:F,5,FALSE)</f>
        <v>0.9</v>
      </c>
      <c r="E103" s="29">
        <f>VLOOKUP(A:A,'Food Database'!B:G,6,FALSE)</f>
        <v>24.1</v>
      </c>
      <c r="F103" s="29">
        <f>VLOOKUP(A:A,'Food Database'!B:H,7,FALSE)</f>
        <v>0.1</v>
      </c>
      <c r="H103" s="24" t="str">
        <f>VLOOKUP(A:A,'Food Database'!B:H,3,FALSE)</f>
        <v>Grams</v>
      </c>
      <c r="J103" s="10"/>
    </row>
    <row r="104" spans="1:10" ht="15">
      <c r="A104" s="40">
        <v>21</v>
      </c>
      <c r="B104" s="28" t="str">
        <f>VLOOKUP(A:A,'Food Database'!B:C,2,FALSE)</f>
        <v>Peas</v>
      </c>
      <c r="C104" s="24">
        <f>VLOOKUP(A:A,'Food Database'!B:E,4,FALSE)</f>
        <v>100</v>
      </c>
      <c r="D104" s="29">
        <f>VLOOKUP(A:A,'Food Database'!B:F,5,FALSE)</f>
        <v>4.9</v>
      </c>
      <c r="E104" s="29">
        <f>VLOOKUP(A:A,'Food Database'!B:G,6,FALSE)</f>
        <v>7.5</v>
      </c>
      <c r="F104" s="29">
        <f>VLOOKUP(A:A,'Food Database'!B:H,7,FALSE)</f>
        <v>0.7</v>
      </c>
      <c r="H104" s="24" t="str">
        <f>VLOOKUP(A:A,'Food Database'!B:H,3,FALSE)</f>
        <v>Grams</v>
      </c>
      <c r="J104" s="10"/>
    </row>
    <row r="105" spans="1:10" ht="15">
      <c r="A105" s="40">
        <v>134</v>
      </c>
      <c r="B105" s="28" t="str">
        <f>VLOOKUP(A:A,'Food Database'!B:C,2,FALSE)</f>
        <v>Broccoli, Boiled</v>
      </c>
      <c r="C105" s="24">
        <f>VLOOKUP(A:A,'Food Database'!B:E,4,FALSE)</f>
        <v>100</v>
      </c>
      <c r="D105" s="29">
        <f>VLOOKUP(A:A,'Food Database'!B:F,5,FALSE)</f>
        <v>3.1</v>
      </c>
      <c r="E105" s="29">
        <f>VLOOKUP(A:A,'Food Database'!B:G,6,FALSE)</f>
        <v>1.1</v>
      </c>
      <c r="F105" s="29">
        <f>VLOOKUP(A:A,'Food Database'!B:H,7,FALSE)</f>
        <v>0.8</v>
      </c>
      <c r="H105" s="24" t="str">
        <f>VLOOKUP(A:A,'Food Database'!B:H,3,FALSE)</f>
        <v>Grams</v>
      </c>
      <c r="J105" s="10"/>
    </row>
    <row r="106" spans="1:10" ht="15">
      <c r="A106" s="40"/>
      <c r="B106" s="28">
        <f>VLOOKUP(A:A,'Food Database'!B:C,2,FALSE)</f>
        <v>0</v>
      </c>
      <c r="C106" s="24">
        <f>VLOOKUP(A:A,'Food Database'!B:E,4,FALSE)</f>
        <v>100</v>
      </c>
      <c r="D106" s="29">
        <f>VLOOKUP(A:A,'Food Database'!B:F,5,FALSE)</f>
        <v>0</v>
      </c>
      <c r="E106" s="29">
        <f>VLOOKUP(A:A,'Food Database'!B:G,6,FALSE)</f>
        <v>0</v>
      </c>
      <c r="F106" s="29">
        <f>VLOOKUP(A:A,'Food Database'!B:H,7,FALSE)</f>
        <v>0</v>
      </c>
      <c r="H106" s="24">
        <f>VLOOKUP(A:A,'Food Database'!B:H,3,FALSE)</f>
        <v>0</v>
      </c>
      <c r="J106" s="10"/>
    </row>
    <row r="107" spans="1:10" ht="15">
      <c r="A107" s="40"/>
      <c r="B107" s="28">
        <f>VLOOKUP(A:A,'Food Database'!B:C,2,FALSE)</f>
        <v>0</v>
      </c>
      <c r="C107" s="24">
        <f>VLOOKUP(A:A,'Food Database'!B:E,4,FALSE)</f>
        <v>100</v>
      </c>
      <c r="D107" s="29">
        <f>VLOOKUP(A:A,'Food Database'!B:F,5,FALSE)</f>
        <v>0</v>
      </c>
      <c r="E107" s="29">
        <f>VLOOKUP(A:A,'Food Database'!B:G,6,FALSE)</f>
        <v>0</v>
      </c>
      <c r="F107" s="29">
        <f>VLOOKUP(A:A,'Food Database'!B:H,7,FALSE)</f>
        <v>0</v>
      </c>
      <c r="H107" s="24">
        <f>VLOOKUP(A:A,'Food Database'!B:H,3,FALSE)</f>
        <v>0</v>
      </c>
      <c r="J107" s="10"/>
    </row>
    <row r="108" spans="1:9" ht="15.75" thickBot="1">
      <c r="A108" s="41"/>
      <c r="B108" s="30">
        <f>VLOOKUP(A:A,'Food Database'!B:C,2,FALSE)</f>
        <v>0</v>
      </c>
      <c r="C108" s="31">
        <f>VLOOKUP(A:A,'Food Database'!B:E,4,FALSE)</f>
        <v>100</v>
      </c>
      <c r="D108" s="32">
        <f>VLOOKUP(A:A,'Food Database'!B:F,5,FALSE)</f>
        <v>0</v>
      </c>
      <c r="E108" s="32">
        <f>VLOOKUP(A:A,'Food Database'!B:G,6,FALSE)</f>
        <v>0</v>
      </c>
      <c r="F108" s="32">
        <f>VLOOKUP(A:A,'Food Database'!B:H,7,FALSE)</f>
        <v>0</v>
      </c>
      <c r="G108" s="33"/>
      <c r="H108" s="31">
        <f>VLOOKUP(A:A,'Food Database'!B:H,3,FALSE)</f>
        <v>0</v>
      </c>
      <c r="I108" s="34"/>
    </row>
    <row r="109" spans="1:12" s="92" customFormat="1" ht="8.25">
      <c r="A109" s="148"/>
      <c r="B109" s="91"/>
      <c r="C109" s="91"/>
      <c r="D109" s="99"/>
      <c r="E109" s="99"/>
      <c r="F109" s="99"/>
      <c r="G109" s="96"/>
      <c r="H109" s="91"/>
      <c r="I109" s="97"/>
      <c r="J109" s="94"/>
      <c r="K109" s="93"/>
      <c r="L109" s="93"/>
    </row>
    <row r="110" spans="1:9" ht="30">
      <c r="A110" s="149"/>
      <c r="B110" s="18" t="str">
        <f>Totals!G22</f>
        <v>Meal 4</v>
      </c>
      <c r="C110" s="11" t="str">
        <f ca="1">MID(CELL("Filename",A111),FIND("]",CELL("Filename",A111))+1,255)</f>
        <v>Day4</v>
      </c>
      <c r="D110" s="115" t="str">
        <f>D78</f>
        <v>Calories left to use =</v>
      </c>
      <c r="E110" s="130">
        <f>E78</f>
        <v>243.13987142326278</v>
      </c>
      <c r="I110" s="15"/>
    </row>
    <row r="111" spans="1:12" s="92" customFormat="1" ht="8.25">
      <c r="A111" s="148"/>
      <c r="D111" s="95"/>
      <c r="E111" s="95"/>
      <c r="F111" s="95"/>
      <c r="G111" s="96"/>
      <c r="H111" s="97"/>
      <c r="I111" s="97"/>
      <c r="J111" s="98"/>
      <c r="K111" s="93"/>
      <c r="L111" s="93"/>
    </row>
    <row r="112" spans="1:10" ht="15">
      <c r="A112" s="149"/>
      <c r="B112" s="20" t="s">
        <v>35</v>
      </c>
      <c r="C112" s="20" t="s">
        <v>17</v>
      </c>
      <c r="D112" s="21" t="s">
        <v>0</v>
      </c>
      <c r="E112" s="21" t="s">
        <v>53</v>
      </c>
      <c r="F112" s="21" t="s">
        <v>1</v>
      </c>
      <c r="H112" s="129" t="s">
        <v>61</v>
      </c>
      <c r="I112" s="2"/>
      <c r="J112" s="2"/>
    </row>
    <row r="113" spans="1:10" ht="15">
      <c r="A113" s="449"/>
      <c r="B113" s="460" t="str">
        <f>B133</f>
        <v>Micellar Caseine (IronS)</v>
      </c>
      <c r="C113" s="461">
        <v>30</v>
      </c>
      <c r="D113" s="455">
        <f>SUM(C113*(D133/C133))</f>
        <v>25.5</v>
      </c>
      <c r="E113" s="455">
        <f>SUM(C113*(E133/C133))</f>
        <v>4.5</v>
      </c>
      <c r="F113" s="455">
        <f>SUM(C113*(F133/C133))</f>
        <v>0.45</v>
      </c>
      <c r="H113" s="35" t="s">
        <v>70</v>
      </c>
      <c r="I113" s="25">
        <f>IF(ISERROR(SUM(D129*4)/SUM(D129*4+E129*4+F129*9)),0,SUM(D129*4)/SUM(D129*4+E129*4+F129*9))</f>
        <v>0.4748931490414656</v>
      </c>
      <c r="J113" s="142" t="str">
        <f>CONCATENATE(ROUND(D129,1)," ","g")</f>
        <v>26.4 g</v>
      </c>
    </row>
    <row r="114" spans="1:10" ht="15">
      <c r="A114" s="449"/>
      <c r="B114" s="450"/>
      <c r="C114" s="458"/>
      <c r="D114" s="457"/>
      <c r="E114" s="457"/>
      <c r="F114" s="457"/>
      <c r="H114" s="35" t="s">
        <v>71</v>
      </c>
      <c r="I114" s="25">
        <f>IF(ISERROR(SUM(E129*4)/SUM(D129*4+E129*4+F129*9)),0,SUM(E129*4)/SUM(D129*4+E129*4+F129*9))</f>
        <v>0.48888999975005615</v>
      </c>
      <c r="J114" s="142" t="str">
        <f>CONCATENATE(ROUND(E129,1)," ","g")</f>
        <v>27.2 g</v>
      </c>
    </row>
    <row r="115" spans="1:10" ht="15">
      <c r="A115" s="449"/>
      <c r="B115" s="450" t="str">
        <f>B134</f>
        <v>Banana</v>
      </c>
      <c r="C115" s="458">
        <v>100</v>
      </c>
      <c r="D115" s="457">
        <f>SUM(C115*(D134/C134))</f>
        <v>0.8888888888888888</v>
      </c>
      <c r="E115" s="457">
        <f>SUM(C115*(E134/C134))</f>
        <v>22.666666666666664</v>
      </c>
      <c r="F115" s="457">
        <f>SUM(C115*(F134/C134))</f>
        <v>0.4444444444444444</v>
      </c>
      <c r="H115" s="35" t="s">
        <v>72</v>
      </c>
      <c r="I115" s="25">
        <f>IF(ISERROR(SUM(F129*9)/SUM(D129*4+E129*4+F129*9)),0,SUM(F129*9)/SUM(D129*4+E129*4+F129*9))</f>
        <v>0.03621685120847808</v>
      </c>
      <c r="J115" s="142" t="str">
        <f>CONCATENATE(ROUND(F129,1)," ","g")</f>
        <v>0.9 g</v>
      </c>
    </row>
    <row r="116" spans="1:10" ht="15">
      <c r="A116" s="449"/>
      <c r="B116" s="450"/>
      <c r="C116" s="458"/>
      <c r="D116" s="457"/>
      <c r="E116" s="457"/>
      <c r="F116" s="457"/>
      <c r="H116" s="35" t="s">
        <v>73</v>
      </c>
      <c r="I116" s="26">
        <f>D129*4+E129*4+F129*9</f>
        <v>222.27222222222224</v>
      </c>
      <c r="J116" s="120"/>
    </row>
    <row r="117" spans="1:8" ht="15">
      <c r="A117" s="449"/>
      <c r="B117" s="450">
        <f>B135</f>
        <v>0</v>
      </c>
      <c r="C117" s="458"/>
      <c r="D117" s="457">
        <f>SUM(C117*(D135/C135))</f>
        <v>0</v>
      </c>
      <c r="E117" s="457">
        <f>SUM(C117*(E135/C135))</f>
        <v>0</v>
      </c>
      <c r="F117" s="457">
        <f>SUM(C117*(F135/C135))</f>
        <v>0</v>
      </c>
      <c r="H117" s="12"/>
    </row>
    <row r="118" spans="1:8" ht="15">
      <c r="A118" s="449"/>
      <c r="B118" s="450"/>
      <c r="C118" s="458"/>
      <c r="D118" s="457"/>
      <c r="E118" s="457"/>
      <c r="F118" s="457"/>
      <c r="H118" s="12"/>
    </row>
    <row r="119" spans="1:8" ht="15">
      <c r="A119" s="449"/>
      <c r="B119" s="450">
        <f>B136</f>
        <v>0</v>
      </c>
      <c r="C119" s="458"/>
      <c r="D119" s="457">
        <f>SUM(C119*(D136/C136))</f>
        <v>0</v>
      </c>
      <c r="E119" s="457">
        <f>SUM(C119*(E136/C136))</f>
        <v>0</v>
      </c>
      <c r="F119" s="457">
        <f>SUM(C119*(F136/C136))</f>
        <v>0</v>
      </c>
      <c r="H119" s="12"/>
    </row>
    <row r="120" spans="1:6" ht="15">
      <c r="A120" s="449"/>
      <c r="B120" s="450"/>
      <c r="C120" s="458"/>
      <c r="D120" s="457"/>
      <c r="E120" s="457"/>
      <c r="F120" s="457"/>
    </row>
    <row r="121" spans="1:6" ht="15">
      <c r="A121" s="449"/>
      <c r="B121" s="450">
        <f>B137</f>
        <v>0</v>
      </c>
      <c r="C121" s="458"/>
      <c r="D121" s="457">
        <f>SUM(C121*(D137/C137))</f>
        <v>0</v>
      </c>
      <c r="E121" s="457">
        <f>SUM(C121*(E137/C137))</f>
        <v>0</v>
      </c>
      <c r="F121" s="457">
        <f>SUM(C121*(F137/C137))</f>
        <v>0</v>
      </c>
    </row>
    <row r="122" spans="1:10" ht="15">
      <c r="A122" s="449"/>
      <c r="B122" s="450"/>
      <c r="C122" s="458"/>
      <c r="D122" s="457"/>
      <c r="E122" s="457"/>
      <c r="F122" s="457"/>
      <c r="J122" s="10"/>
    </row>
    <row r="123" spans="1:10" ht="15">
      <c r="A123" s="449"/>
      <c r="B123" s="450">
        <f>B138</f>
        <v>0</v>
      </c>
      <c r="C123" s="458"/>
      <c r="D123" s="457">
        <f>SUM(C123*(D138/C138))</f>
        <v>0</v>
      </c>
      <c r="E123" s="457">
        <f>SUM(C123*(E138/C138))</f>
        <v>0</v>
      </c>
      <c r="F123" s="457">
        <f>SUM(C123*(F138/C138))</f>
        <v>0</v>
      </c>
      <c r="J123" s="10"/>
    </row>
    <row r="124" spans="1:10" ht="15">
      <c r="A124" s="449"/>
      <c r="B124" s="450"/>
      <c r="C124" s="458"/>
      <c r="D124" s="457"/>
      <c r="E124" s="457"/>
      <c r="F124" s="457"/>
      <c r="H124" s="12"/>
      <c r="J124" s="10"/>
    </row>
    <row r="125" spans="1:10" ht="15">
      <c r="A125" s="449"/>
      <c r="B125" s="450">
        <f>B139</f>
        <v>0</v>
      </c>
      <c r="C125" s="458"/>
      <c r="D125" s="457">
        <f>SUM(C125*(D139/C139))</f>
        <v>0</v>
      </c>
      <c r="E125" s="457">
        <f>SUM(C125*(E139/C139))</f>
        <v>0</v>
      </c>
      <c r="F125" s="457">
        <f>SUM(C125*(F139/C139))</f>
        <v>0</v>
      </c>
      <c r="H125" s="12"/>
      <c r="J125" s="10"/>
    </row>
    <row r="126" spans="1:10" ht="15">
      <c r="A126" s="449"/>
      <c r="B126" s="450"/>
      <c r="C126" s="458"/>
      <c r="D126" s="457"/>
      <c r="E126" s="457"/>
      <c r="F126" s="457"/>
      <c r="H126" s="12"/>
      <c r="J126" s="10"/>
    </row>
    <row r="127" spans="1:10" ht="15">
      <c r="A127" s="449"/>
      <c r="B127" s="450">
        <f>B140</f>
        <v>0</v>
      </c>
      <c r="C127" s="458"/>
      <c r="D127" s="457">
        <f>SUM(C127*(D140/C140))</f>
        <v>0</v>
      </c>
      <c r="E127" s="457">
        <f>SUM(C127*(E140/C140))</f>
        <v>0</v>
      </c>
      <c r="F127" s="457">
        <f>SUM(C127*(F140/C140))</f>
        <v>0</v>
      </c>
      <c r="G127" s="13"/>
      <c r="J127" s="10"/>
    </row>
    <row r="128" spans="1:10" ht="15">
      <c r="A128" s="449"/>
      <c r="B128" s="450"/>
      <c r="C128" s="459"/>
      <c r="D128" s="456"/>
      <c r="E128" s="456"/>
      <c r="F128" s="456"/>
      <c r="J128" s="10"/>
    </row>
    <row r="129" spans="1:10" ht="15">
      <c r="A129" s="150"/>
      <c r="B129" s="2"/>
      <c r="C129" s="453" t="s">
        <v>2</v>
      </c>
      <c r="D129" s="455">
        <f>SUM(D113:D128)</f>
        <v>26.38888888888889</v>
      </c>
      <c r="E129" s="455">
        <f>SUM(E113:E128)</f>
        <v>27.166666666666664</v>
      </c>
      <c r="F129" s="455">
        <f>SUM(F113:F128)</f>
        <v>0.8944444444444444</v>
      </c>
      <c r="G129" s="452"/>
      <c r="J129" s="10"/>
    </row>
    <row r="130" spans="1:10" ht="15">
      <c r="A130" s="149"/>
      <c r="B130" s="27"/>
      <c r="C130" s="454"/>
      <c r="D130" s="456"/>
      <c r="E130" s="456"/>
      <c r="F130" s="456"/>
      <c r="G130" s="452"/>
      <c r="J130" s="10"/>
    </row>
    <row r="131" spans="1:10" ht="15">
      <c r="A131" s="149"/>
      <c r="E131" s="128"/>
      <c r="J131" s="10"/>
    </row>
    <row r="132" spans="1:10" ht="15">
      <c r="A132" s="151" t="s">
        <v>16</v>
      </c>
      <c r="B132" s="1" t="s">
        <v>35</v>
      </c>
      <c r="C132" s="1" t="s">
        <v>17</v>
      </c>
      <c r="D132" s="16" t="s">
        <v>0</v>
      </c>
      <c r="E132" s="16" t="s">
        <v>53</v>
      </c>
      <c r="F132" s="16" t="s">
        <v>1</v>
      </c>
      <c r="G132" s="17"/>
      <c r="H132" s="1" t="s">
        <v>25</v>
      </c>
      <c r="J132" s="10"/>
    </row>
    <row r="133" spans="1:10" ht="15">
      <c r="A133" s="40">
        <v>15</v>
      </c>
      <c r="B133" s="28" t="str">
        <f>VLOOKUP(A:A,'Food Database'!B:C,2,FALSE)</f>
        <v>Micellar Caseine (IronS)</v>
      </c>
      <c r="C133" s="24">
        <f>VLOOKUP(A:A,'Food Database'!B:E,4,FALSE)</f>
        <v>30</v>
      </c>
      <c r="D133" s="29">
        <f>VLOOKUP(A:A,'Food Database'!B:F,5,FALSE)</f>
        <v>25.5</v>
      </c>
      <c r="E133" s="29">
        <f>VLOOKUP(A:A,'Food Database'!B:G,6,FALSE)</f>
        <v>4.5</v>
      </c>
      <c r="F133" s="29">
        <f>VLOOKUP(A:A,'Food Database'!B:H,7,FALSE)</f>
        <v>0.45</v>
      </c>
      <c r="H133" s="24" t="str">
        <f>VLOOKUP(A:A,'Food Database'!B:H,3,FALSE)</f>
        <v>Grams</v>
      </c>
      <c r="J133" s="10"/>
    </row>
    <row r="134" spans="1:10" ht="15">
      <c r="A134" s="40">
        <v>5</v>
      </c>
      <c r="B134" s="28" t="str">
        <f>VLOOKUP(A:A,'Food Database'!B:C,2,FALSE)</f>
        <v>Banana</v>
      </c>
      <c r="C134" s="24">
        <f>VLOOKUP(A:A,'Food Database'!B:E,4,FALSE)</f>
        <v>225</v>
      </c>
      <c r="D134" s="29">
        <f>VLOOKUP(A:A,'Food Database'!B:F,5,FALSE)</f>
        <v>2</v>
      </c>
      <c r="E134" s="29">
        <f>VLOOKUP(A:A,'Food Database'!B:G,6,FALSE)</f>
        <v>51</v>
      </c>
      <c r="F134" s="29">
        <f>VLOOKUP(A:A,'Food Database'!B:H,7,FALSE)</f>
        <v>1</v>
      </c>
      <c r="H134" s="24" t="str">
        <f>VLOOKUP(A:A,'Food Database'!B:H,3,FALSE)</f>
        <v>Grams</v>
      </c>
      <c r="J134" s="10"/>
    </row>
    <row r="135" spans="1:10" ht="15">
      <c r="A135" s="40"/>
      <c r="B135" s="28">
        <f>VLOOKUP(A:A,'Food Database'!B:C,2,FALSE)</f>
        <v>0</v>
      </c>
      <c r="C135" s="24">
        <f>VLOOKUP(A:A,'Food Database'!B:E,4,FALSE)</f>
        <v>100</v>
      </c>
      <c r="D135" s="29">
        <f>VLOOKUP(A:A,'Food Database'!B:F,5,FALSE)</f>
        <v>0</v>
      </c>
      <c r="E135" s="29">
        <f>VLOOKUP(A:A,'Food Database'!B:G,6,FALSE)</f>
        <v>0</v>
      </c>
      <c r="F135" s="29">
        <f>VLOOKUP(A:A,'Food Database'!B:H,7,FALSE)</f>
        <v>0</v>
      </c>
      <c r="H135" s="24">
        <f>VLOOKUP(A:A,'Food Database'!B:H,3,FALSE)</f>
        <v>0</v>
      </c>
      <c r="J135" s="10"/>
    </row>
    <row r="136" spans="1:10" ht="15">
      <c r="A136" s="40"/>
      <c r="B136" s="28">
        <f>VLOOKUP(A:A,'Food Database'!B:C,2,FALSE)</f>
        <v>0</v>
      </c>
      <c r="C136" s="24">
        <f>VLOOKUP(A:A,'Food Database'!B:E,4,FALSE)</f>
        <v>100</v>
      </c>
      <c r="D136" s="29">
        <f>VLOOKUP(A:A,'Food Database'!B:F,5,FALSE)</f>
        <v>0</v>
      </c>
      <c r="E136" s="29">
        <f>VLOOKUP(A:A,'Food Database'!B:G,6,FALSE)</f>
        <v>0</v>
      </c>
      <c r="F136" s="29">
        <f>VLOOKUP(A:A,'Food Database'!B:H,7,FALSE)</f>
        <v>0</v>
      </c>
      <c r="H136" s="24">
        <f>VLOOKUP(A:A,'Food Database'!B:H,3,FALSE)</f>
        <v>0</v>
      </c>
      <c r="J136" s="10"/>
    </row>
    <row r="137" spans="1:10" ht="15">
      <c r="A137" s="40"/>
      <c r="B137" s="28">
        <f>VLOOKUP(A:A,'Food Database'!B:C,2,FALSE)</f>
        <v>0</v>
      </c>
      <c r="C137" s="24">
        <f>VLOOKUP(A:A,'Food Database'!B:E,4,FALSE)</f>
        <v>100</v>
      </c>
      <c r="D137" s="29">
        <f>VLOOKUP(A:A,'Food Database'!B:F,5,FALSE)</f>
        <v>0</v>
      </c>
      <c r="E137" s="29">
        <f>VLOOKUP(A:A,'Food Database'!B:G,6,FALSE)</f>
        <v>0</v>
      </c>
      <c r="F137" s="29">
        <f>VLOOKUP(A:A,'Food Database'!B:H,7,FALSE)</f>
        <v>0</v>
      </c>
      <c r="H137" s="24">
        <f>VLOOKUP(A:A,'Food Database'!B:H,3,FALSE)</f>
        <v>0</v>
      </c>
      <c r="J137" s="10"/>
    </row>
    <row r="138" spans="1:10" ht="15">
      <c r="A138" s="40"/>
      <c r="B138" s="28">
        <f>VLOOKUP(A:A,'Food Database'!B:C,2,FALSE)</f>
        <v>0</v>
      </c>
      <c r="C138" s="24">
        <f>VLOOKUP(A:A,'Food Database'!B:E,4,FALSE)</f>
        <v>100</v>
      </c>
      <c r="D138" s="29">
        <f>VLOOKUP(A:A,'Food Database'!B:F,5,FALSE)</f>
        <v>0</v>
      </c>
      <c r="E138" s="29">
        <f>VLOOKUP(A:A,'Food Database'!B:G,6,FALSE)</f>
        <v>0</v>
      </c>
      <c r="F138" s="29">
        <f>VLOOKUP(A:A,'Food Database'!B:H,7,FALSE)</f>
        <v>0</v>
      </c>
      <c r="H138" s="24">
        <f>VLOOKUP(A:A,'Food Database'!B:H,3,FALSE)</f>
        <v>0</v>
      </c>
      <c r="J138" s="10"/>
    </row>
    <row r="139" spans="1:10" ht="15">
      <c r="A139" s="40"/>
      <c r="B139" s="28">
        <f>VLOOKUP(A:A,'Food Database'!B:C,2,FALSE)</f>
        <v>0</v>
      </c>
      <c r="C139" s="24">
        <f>VLOOKUP(A:A,'Food Database'!B:E,4,FALSE)</f>
        <v>100</v>
      </c>
      <c r="D139" s="29">
        <f>VLOOKUP(A:A,'Food Database'!B:F,5,FALSE)</f>
        <v>0</v>
      </c>
      <c r="E139" s="29">
        <f>VLOOKUP(A:A,'Food Database'!B:G,6,FALSE)</f>
        <v>0</v>
      </c>
      <c r="F139" s="29">
        <f>VLOOKUP(A:A,'Food Database'!B:H,7,FALSE)</f>
        <v>0</v>
      </c>
      <c r="H139" s="24">
        <f>VLOOKUP(A:A,'Food Database'!B:H,3,FALSE)</f>
        <v>0</v>
      </c>
      <c r="J139" s="10"/>
    </row>
    <row r="140" spans="1:9" ht="15.75" thickBot="1">
      <c r="A140" s="41"/>
      <c r="B140" s="30">
        <f>VLOOKUP(A:A,'Food Database'!B:C,2,FALSE)</f>
        <v>0</v>
      </c>
      <c r="C140" s="31">
        <f>VLOOKUP(A:A,'Food Database'!B:E,4,FALSE)</f>
        <v>100</v>
      </c>
      <c r="D140" s="32">
        <f>VLOOKUP(A:A,'Food Database'!B:F,5,FALSE)</f>
        <v>0</v>
      </c>
      <c r="E140" s="32">
        <f>VLOOKUP(A:A,'Food Database'!B:G,6,FALSE)</f>
        <v>0</v>
      </c>
      <c r="F140" s="32">
        <f>VLOOKUP(A:A,'Food Database'!B:H,7,FALSE)</f>
        <v>0</v>
      </c>
      <c r="G140" s="33"/>
      <c r="H140" s="31">
        <f>VLOOKUP(A:A,'Food Database'!B:H,3,FALSE)</f>
        <v>0</v>
      </c>
      <c r="I140" s="34"/>
    </row>
    <row r="141" spans="1:12" s="92" customFormat="1" ht="8.25">
      <c r="A141" s="148"/>
      <c r="B141" s="91"/>
      <c r="C141" s="91"/>
      <c r="D141" s="99"/>
      <c r="E141" s="99"/>
      <c r="F141" s="99"/>
      <c r="G141" s="96"/>
      <c r="H141" s="91"/>
      <c r="I141" s="97"/>
      <c r="J141" s="94"/>
      <c r="K141" s="93"/>
      <c r="L141" s="93"/>
    </row>
    <row r="142" spans="1:9" ht="30">
      <c r="A142" s="149"/>
      <c r="B142" s="18" t="str">
        <f>Totals!G23</f>
        <v>Meal 5</v>
      </c>
      <c r="C142" s="11" t="str">
        <f ca="1">MID(CELL("Filename",A143),FIND("]",CELL("Filename",A143))+1,255)</f>
        <v>Day4</v>
      </c>
      <c r="D142" s="115" t="str">
        <f>D110</f>
        <v>Calories left to use =</v>
      </c>
      <c r="E142" s="130">
        <f>E110</f>
        <v>243.13987142326278</v>
      </c>
      <c r="I142" s="15"/>
    </row>
    <row r="143" spans="1:12" s="92" customFormat="1" ht="8.25">
      <c r="A143" s="148"/>
      <c r="D143" s="95"/>
      <c r="E143" s="95"/>
      <c r="F143" s="95"/>
      <c r="G143" s="96"/>
      <c r="H143" s="97"/>
      <c r="I143" s="97"/>
      <c r="J143" s="98"/>
      <c r="K143" s="93"/>
      <c r="L143" s="93"/>
    </row>
    <row r="144" spans="1:10" ht="15">
      <c r="A144" s="149"/>
      <c r="B144" s="20" t="s">
        <v>35</v>
      </c>
      <c r="C144" s="20" t="s">
        <v>17</v>
      </c>
      <c r="D144" s="21" t="s">
        <v>0</v>
      </c>
      <c r="E144" s="21" t="s">
        <v>53</v>
      </c>
      <c r="F144" s="21" t="s">
        <v>1</v>
      </c>
      <c r="H144" s="129" t="s">
        <v>61</v>
      </c>
      <c r="I144" s="2"/>
      <c r="J144" s="2"/>
    </row>
    <row r="145" spans="1:10" ht="15">
      <c r="A145" s="449"/>
      <c r="B145" s="460">
        <f>B165</f>
        <v>0</v>
      </c>
      <c r="C145" s="461"/>
      <c r="D145" s="455">
        <f>SUM(C145*(D165/C165))</f>
        <v>0</v>
      </c>
      <c r="E145" s="455">
        <f>SUM(C145*(E165/C165))</f>
        <v>0</v>
      </c>
      <c r="F145" s="455">
        <f>SUM(C145*(F165/C165))</f>
        <v>0</v>
      </c>
      <c r="H145" s="35" t="s">
        <v>70</v>
      </c>
      <c r="I145" s="25">
        <f>IF(ISERROR(SUM(D161*4)/SUM(D161*4+E161*4+F161*9)),0,SUM(D161*4)/SUM(D161*4+E161*4+F161*9))</f>
        <v>0</v>
      </c>
      <c r="J145" s="142" t="str">
        <f>CONCATENATE(ROUND(D161,1)," ","g")</f>
        <v>0 g</v>
      </c>
    </row>
    <row r="146" spans="1:10" ht="15">
      <c r="A146" s="449"/>
      <c r="B146" s="450"/>
      <c r="C146" s="458"/>
      <c r="D146" s="457"/>
      <c r="E146" s="457"/>
      <c r="F146" s="457"/>
      <c r="H146" s="35" t="s">
        <v>71</v>
      </c>
      <c r="I146" s="25">
        <f>IF(ISERROR(SUM(E161*4)/SUM(D161*4+E161*4+F161*9)),0,SUM(E161*4)/SUM(D161*4+E161*4+F161*9))</f>
        <v>0</v>
      </c>
      <c r="J146" s="142" t="str">
        <f>CONCATENATE(ROUND(E161,1)," ","g")</f>
        <v>0 g</v>
      </c>
    </row>
    <row r="147" spans="1:10" ht="15">
      <c r="A147" s="449"/>
      <c r="B147" s="450">
        <f>B166</f>
        <v>0</v>
      </c>
      <c r="C147" s="458"/>
      <c r="D147" s="457">
        <f>SUM(C147*(D166/C166))</f>
        <v>0</v>
      </c>
      <c r="E147" s="457">
        <f>SUM(C147*(E166/C166))</f>
        <v>0</v>
      </c>
      <c r="F147" s="457">
        <f>SUM(C147*(F166/C166))</f>
        <v>0</v>
      </c>
      <c r="H147" s="35" t="s">
        <v>72</v>
      </c>
      <c r="I147" s="25">
        <f>IF(ISERROR(SUM(F161*9)/SUM(D161*4+E161*4+F161*9)),0,SUM(F161*9)/SUM(D161*4+E161*4+F161*9))</f>
        <v>0</v>
      </c>
      <c r="J147" s="142" t="str">
        <f>CONCATENATE(ROUND(F161,1)," ","g")</f>
        <v>0 g</v>
      </c>
    </row>
    <row r="148" spans="1:10" ht="15">
      <c r="A148" s="449"/>
      <c r="B148" s="450"/>
      <c r="C148" s="458"/>
      <c r="D148" s="457"/>
      <c r="E148" s="457"/>
      <c r="F148" s="457"/>
      <c r="H148" s="35" t="s">
        <v>73</v>
      </c>
      <c r="I148" s="26">
        <f>D161*4+E161*4+F161*9</f>
        <v>0</v>
      </c>
      <c r="J148" s="120"/>
    </row>
    <row r="149" spans="1:8" ht="15">
      <c r="A149" s="449"/>
      <c r="B149" s="450">
        <f>B167</f>
        <v>0</v>
      </c>
      <c r="C149" s="458"/>
      <c r="D149" s="457">
        <f>SUM(C149*(D167/C167))</f>
        <v>0</v>
      </c>
      <c r="E149" s="457">
        <f>SUM(C149*(E167/C167))</f>
        <v>0</v>
      </c>
      <c r="F149" s="457">
        <f>SUM(C149*(F167/C167))</f>
        <v>0</v>
      </c>
      <c r="H149" s="12"/>
    </row>
    <row r="150" spans="1:8" ht="15">
      <c r="A150" s="449"/>
      <c r="B150" s="450"/>
      <c r="C150" s="458"/>
      <c r="D150" s="457"/>
      <c r="E150" s="457"/>
      <c r="F150" s="457"/>
      <c r="H150" s="12"/>
    </row>
    <row r="151" spans="1:8" ht="15">
      <c r="A151" s="449"/>
      <c r="B151" s="450">
        <f>B168</f>
        <v>0</v>
      </c>
      <c r="C151" s="458"/>
      <c r="D151" s="457">
        <f>SUM(C151*(D168/C168))</f>
        <v>0</v>
      </c>
      <c r="E151" s="457">
        <f>SUM(C151*(E168/C168))</f>
        <v>0</v>
      </c>
      <c r="F151" s="457">
        <f>SUM(C151*(F168/C168))</f>
        <v>0</v>
      </c>
      <c r="H151" s="12"/>
    </row>
    <row r="152" spans="1:6" ht="15">
      <c r="A152" s="449"/>
      <c r="B152" s="450"/>
      <c r="C152" s="458"/>
      <c r="D152" s="457"/>
      <c r="E152" s="457"/>
      <c r="F152" s="457"/>
    </row>
    <row r="153" spans="1:6" ht="15">
      <c r="A153" s="449"/>
      <c r="B153" s="450">
        <f>B169</f>
        <v>0</v>
      </c>
      <c r="C153" s="458"/>
      <c r="D153" s="457">
        <f>SUM(C153*(D169/C169))</f>
        <v>0</v>
      </c>
      <c r="E153" s="457">
        <f>SUM(C153*(E169/C169))</f>
        <v>0</v>
      </c>
      <c r="F153" s="457">
        <f>SUM(C153*(F169/C169))</f>
        <v>0</v>
      </c>
    </row>
    <row r="154" spans="1:10" ht="15">
      <c r="A154" s="449"/>
      <c r="B154" s="450"/>
      <c r="C154" s="458"/>
      <c r="D154" s="457"/>
      <c r="E154" s="457"/>
      <c r="F154" s="457"/>
      <c r="J154" s="10"/>
    </row>
    <row r="155" spans="1:10" ht="15">
      <c r="A155" s="449"/>
      <c r="B155" s="450">
        <f>B170</f>
        <v>0</v>
      </c>
      <c r="C155" s="458"/>
      <c r="D155" s="457">
        <f>SUM(C155*(D170/C170))</f>
        <v>0</v>
      </c>
      <c r="E155" s="457">
        <f>SUM(C155*(E170/C170))</f>
        <v>0</v>
      </c>
      <c r="F155" s="457">
        <f>SUM(C155*(F170/C170))</f>
        <v>0</v>
      </c>
      <c r="J155" s="10"/>
    </row>
    <row r="156" spans="1:10" ht="15">
      <c r="A156" s="449"/>
      <c r="B156" s="450"/>
      <c r="C156" s="458"/>
      <c r="D156" s="457"/>
      <c r="E156" s="457"/>
      <c r="F156" s="457"/>
      <c r="H156" s="12"/>
      <c r="J156" s="10"/>
    </row>
    <row r="157" spans="1:10" ht="15">
      <c r="A157" s="449"/>
      <c r="B157" s="450">
        <f>B171</f>
        <v>0</v>
      </c>
      <c r="C157" s="458"/>
      <c r="D157" s="457">
        <f>SUM(C157*(D171/C171))</f>
        <v>0</v>
      </c>
      <c r="E157" s="457">
        <f>SUM(C157*(E171/C171))</f>
        <v>0</v>
      </c>
      <c r="F157" s="457">
        <f>SUM(C157*(F171/C171))</f>
        <v>0</v>
      </c>
      <c r="H157" s="12"/>
      <c r="J157" s="10"/>
    </row>
    <row r="158" spans="1:10" ht="15">
      <c r="A158" s="449"/>
      <c r="B158" s="450"/>
      <c r="C158" s="458"/>
      <c r="D158" s="457"/>
      <c r="E158" s="457"/>
      <c r="F158" s="457"/>
      <c r="H158" s="12"/>
      <c r="J158" s="10"/>
    </row>
    <row r="159" spans="1:10" ht="15">
      <c r="A159" s="449"/>
      <c r="B159" s="450">
        <f>B172</f>
        <v>0</v>
      </c>
      <c r="C159" s="458"/>
      <c r="D159" s="457">
        <f>SUM(C159*(D172/C172))</f>
        <v>0</v>
      </c>
      <c r="E159" s="457">
        <f>SUM(C159*(E172/C172))</f>
        <v>0</v>
      </c>
      <c r="F159" s="457">
        <f>SUM(C159*(F172/C172))</f>
        <v>0</v>
      </c>
      <c r="G159" s="13"/>
      <c r="J159" s="10"/>
    </row>
    <row r="160" spans="1:10" ht="15">
      <c r="A160" s="449"/>
      <c r="B160" s="450"/>
      <c r="C160" s="459"/>
      <c r="D160" s="456"/>
      <c r="E160" s="456"/>
      <c r="F160" s="456"/>
      <c r="J160" s="10"/>
    </row>
    <row r="161" spans="1:10" ht="15">
      <c r="A161" s="150"/>
      <c r="B161" s="2"/>
      <c r="C161" s="453" t="s">
        <v>2</v>
      </c>
      <c r="D161" s="455">
        <f>SUM(D145:D160)</f>
        <v>0</v>
      </c>
      <c r="E161" s="455">
        <f>SUM(E145:E160)</f>
        <v>0</v>
      </c>
      <c r="F161" s="455">
        <f>SUM(F145:F160)</f>
        <v>0</v>
      </c>
      <c r="G161" s="452"/>
      <c r="J161" s="10"/>
    </row>
    <row r="162" spans="1:10" ht="15">
      <c r="A162" s="149"/>
      <c r="B162" s="27"/>
      <c r="C162" s="454"/>
      <c r="D162" s="456"/>
      <c r="E162" s="456"/>
      <c r="F162" s="456"/>
      <c r="G162" s="452"/>
      <c r="J162" s="10"/>
    </row>
    <row r="163" spans="1:10" ht="15">
      <c r="A163" s="149"/>
      <c r="E163" s="128"/>
      <c r="J163" s="10"/>
    </row>
    <row r="164" spans="1:10" ht="15">
      <c r="A164" s="151" t="s">
        <v>16</v>
      </c>
      <c r="B164" s="1" t="s">
        <v>35</v>
      </c>
      <c r="C164" s="1" t="s">
        <v>17</v>
      </c>
      <c r="D164" s="16" t="s">
        <v>0</v>
      </c>
      <c r="E164" s="16" t="s">
        <v>53</v>
      </c>
      <c r="F164" s="16" t="s">
        <v>1</v>
      </c>
      <c r="G164" s="17"/>
      <c r="H164" s="1" t="s">
        <v>25</v>
      </c>
      <c r="J164" s="10"/>
    </row>
    <row r="165" spans="1:10" ht="15">
      <c r="A165" s="40"/>
      <c r="B165" s="28">
        <f>VLOOKUP(A:A,'Food Database'!B:C,2,FALSE)</f>
        <v>0</v>
      </c>
      <c r="C165" s="24">
        <f>VLOOKUP(A:A,'Food Database'!B:E,4,FALSE)</f>
        <v>100</v>
      </c>
      <c r="D165" s="29">
        <f>VLOOKUP(A:A,'Food Database'!B:F,5,FALSE)</f>
        <v>0</v>
      </c>
      <c r="E165" s="29">
        <f>VLOOKUP(A:A,'Food Database'!B:G,6,FALSE)</f>
        <v>0</v>
      </c>
      <c r="F165" s="29">
        <f>VLOOKUP(A:A,'Food Database'!B:H,7,FALSE)</f>
        <v>0</v>
      </c>
      <c r="H165" s="24">
        <f>VLOOKUP(A:A,'Food Database'!B:H,3,FALSE)</f>
        <v>0</v>
      </c>
      <c r="J165" s="10"/>
    </row>
    <row r="166" spans="1:10" ht="15">
      <c r="A166" s="40"/>
      <c r="B166" s="28">
        <f>VLOOKUP(A:A,'Food Database'!B:C,2,FALSE)</f>
        <v>0</v>
      </c>
      <c r="C166" s="24">
        <f>VLOOKUP(A:A,'Food Database'!B:E,4,FALSE)</f>
        <v>100</v>
      </c>
      <c r="D166" s="29">
        <f>VLOOKUP(A:A,'Food Database'!B:F,5,FALSE)</f>
        <v>0</v>
      </c>
      <c r="E166" s="29">
        <f>VLOOKUP(A:A,'Food Database'!B:G,6,FALSE)</f>
        <v>0</v>
      </c>
      <c r="F166" s="29">
        <f>VLOOKUP(A:A,'Food Database'!B:H,7,FALSE)</f>
        <v>0</v>
      </c>
      <c r="H166" s="24">
        <f>VLOOKUP(A:A,'Food Database'!B:H,3,FALSE)</f>
        <v>0</v>
      </c>
      <c r="J166" s="10"/>
    </row>
    <row r="167" spans="1:10" ht="15">
      <c r="A167" s="40"/>
      <c r="B167" s="28">
        <f>VLOOKUP(A:A,'Food Database'!B:C,2,FALSE)</f>
        <v>0</v>
      </c>
      <c r="C167" s="24">
        <f>VLOOKUP(A:A,'Food Database'!B:E,4,FALSE)</f>
        <v>100</v>
      </c>
      <c r="D167" s="29">
        <f>VLOOKUP(A:A,'Food Database'!B:F,5,FALSE)</f>
        <v>0</v>
      </c>
      <c r="E167" s="29">
        <f>VLOOKUP(A:A,'Food Database'!B:G,6,FALSE)</f>
        <v>0</v>
      </c>
      <c r="F167" s="29">
        <f>VLOOKUP(A:A,'Food Database'!B:H,7,FALSE)</f>
        <v>0</v>
      </c>
      <c r="H167" s="24">
        <f>VLOOKUP(A:A,'Food Database'!B:H,3,FALSE)</f>
        <v>0</v>
      </c>
      <c r="J167" s="10"/>
    </row>
    <row r="168" spans="1:10" ht="15">
      <c r="A168" s="40"/>
      <c r="B168" s="28">
        <f>VLOOKUP(A:A,'Food Database'!B:C,2,FALSE)</f>
        <v>0</v>
      </c>
      <c r="C168" s="24">
        <f>VLOOKUP(A:A,'Food Database'!B:E,4,FALSE)</f>
        <v>100</v>
      </c>
      <c r="D168" s="29">
        <f>VLOOKUP(A:A,'Food Database'!B:F,5,FALSE)</f>
        <v>0</v>
      </c>
      <c r="E168" s="29">
        <f>VLOOKUP(A:A,'Food Database'!B:G,6,FALSE)</f>
        <v>0</v>
      </c>
      <c r="F168" s="29">
        <f>VLOOKUP(A:A,'Food Database'!B:H,7,FALSE)</f>
        <v>0</v>
      </c>
      <c r="H168" s="24">
        <f>VLOOKUP(A:A,'Food Database'!B:H,3,FALSE)</f>
        <v>0</v>
      </c>
      <c r="J168" s="10"/>
    </row>
    <row r="169" spans="1:10" ht="15">
      <c r="A169" s="40"/>
      <c r="B169" s="28">
        <f>VLOOKUP(A:A,'Food Database'!B:C,2,FALSE)</f>
        <v>0</v>
      </c>
      <c r="C169" s="24">
        <f>VLOOKUP(A:A,'Food Database'!B:E,4,FALSE)</f>
        <v>100</v>
      </c>
      <c r="D169" s="29">
        <f>VLOOKUP(A:A,'Food Database'!B:F,5,FALSE)</f>
        <v>0</v>
      </c>
      <c r="E169" s="29">
        <f>VLOOKUP(A:A,'Food Database'!B:G,6,FALSE)</f>
        <v>0</v>
      </c>
      <c r="F169" s="29">
        <f>VLOOKUP(A:A,'Food Database'!B:H,7,FALSE)</f>
        <v>0</v>
      </c>
      <c r="H169" s="24">
        <f>VLOOKUP(A:A,'Food Database'!B:H,3,FALSE)</f>
        <v>0</v>
      </c>
      <c r="J169" s="10"/>
    </row>
    <row r="170" spans="1:10" ht="15">
      <c r="A170" s="40"/>
      <c r="B170" s="28">
        <f>VLOOKUP(A:A,'Food Database'!B:C,2,FALSE)</f>
        <v>0</v>
      </c>
      <c r="C170" s="24">
        <f>VLOOKUP(A:A,'Food Database'!B:E,4,FALSE)</f>
        <v>100</v>
      </c>
      <c r="D170" s="29">
        <f>VLOOKUP(A:A,'Food Database'!B:F,5,FALSE)</f>
        <v>0</v>
      </c>
      <c r="E170" s="29">
        <f>VLOOKUP(A:A,'Food Database'!B:G,6,FALSE)</f>
        <v>0</v>
      </c>
      <c r="F170" s="29">
        <f>VLOOKUP(A:A,'Food Database'!B:H,7,FALSE)</f>
        <v>0</v>
      </c>
      <c r="H170" s="24">
        <f>VLOOKUP(A:A,'Food Database'!B:H,3,FALSE)</f>
        <v>0</v>
      </c>
      <c r="J170" s="10"/>
    </row>
    <row r="171" spans="1:10" ht="15">
      <c r="A171" s="40"/>
      <c r="B171" s="28">
        <f>VLOOKUP(A:A,'Food Database'!B:C,2,FALSE)</f>
        <v>0</v>
      </c>
      <c r="C171" s="24">
        <f>VLOOKUP(A:A,'Food Database'!B:E,4,FALSE)</f>
        <v>100</v>
      </c>
      <c r="D171" s="29">
        <f>VLOOKUP(A:A,'Food Database'!B:F,5,FALSE)</f>
        <v>0</v>
      </c>
      <c r="E171" s="29">
        <f>VLOOKUP(A:A,'Food Database'!B:G,6,FALSE)</f>
        <v>0</v>
      </c>
      <c r="F171" s="29">
        <f>VLOOKUP(A:A,'Food Database'!B:H,7,FALSE)</f>
        <v>0</v>
      </c>
      <c r="H171" s="24">
        <f>VLOOKUP(A:A,'Food Database'!B:H,3,FALSE)</f>
        <v>0</v>
      </c>
      <c r="J171" s="10"/>
    </row>
    <row r="172" spans="1:9" ht="15.75" thickBot="1">
      <c r="A172" s="41"/>
      <c r="B172" s="30">
        <f>VLOOKUP(A:A,'Food Database'!B:C,2,FALSE)</f>
        <v>0</v>
      </c>
      <c r="C172" s="31">
        <f>VLOOKUP(A:A,'Food Database'!B:E,4,FALSE)</f>
        <v>100</v>
      </c>
      <c r="D172" s="32">
        <f>VLOOKUP(A:A,'Food Database'!B:F,5,FALSE)</f>
        <v>0</v>
      </c>
      <c r="E172" s="32">
        <f>VLOOKUP(A:A,'Food Database'!B:G,6,FALSE)</f>
        <v>0</v>
      </c>
      <c r="F172" s="32">
        <f>VLOOKUP(A:A,'Food Database'!B:H,7,FALSE)</f>
        <v>0</v>
      </c>
      <c r="G172" s="33"/>
      <c r="H172" s="31">
        <f>VLOOKUP(A:A,'Food Database'!B:H,3,FALSE)</f>
        <v>0</v>
      </c>
      <c r="I172" s="34"/>
    </row>
    <row r="173" spans="1:12" s="92" customFormat="1" ht="8.25">
      <c r="A173" s="148"/>
      <c r="B173" s="91"/>
      <c r="C173" s="91"/>
      <c r="D173" s="99"/>
      <c r="E173" s="99"/>
      <c r="F173" s="99"/>
      <c r="G173" s="96"/>
      <c r="H173" s="91"/>
      <c r="I173" s="97"/>
      <c r="J173" s="94"/>
      <c r="K173" s="93"/>
      <c r="L173" s="93"/>
    </row>
    <row r="174" spans="1:9" ht="30">
      <c r="A174" s="149"/>
      <c r="B174" s="18" t="str">
        <f>Totals!G24</f>
        <v>Meal 6</v>
      </c>
      <c r="C174" s="11" t="str">
        <f ca="1">MID(CELL("Filename",A175),FIND("]",CELL("Filename",A175))+1,255)</f>
        <v>Day4</v>
      </c>
      <c r="D174" s="115" t="str">
        <f>D142</f>
        <v>Calories left to use =</v>
      </c>
      <c r="E174" s="130">
        <f>E142</f>
        <v>243.13987142326278</v>
      </c>
      <c r="I174" s="15"/>
    </row>
    <row r="175" spans="1:12" s="92" customFormat="1" ht="8.25">
      <c r="A175" s="148"/>
      <c r="D175" s="95"/>
      <c r="E175" s="95"/>
      <c r="F175" s="95"/>
      <c r="G175" s="96"/>
      <c r="H175" s="97"/>
      <c r="I175" s="97"/>
      <c r="J175" s="98"/>
      <c r="K175" s="93"/>
      <c r="L175" s="93"/>
    </row>
    <row r="176" spans="1:10" ht="15">
      <c r="A176" s="149"/>
      <c r="B176" s="20" t="s">
        <v>35</v>
      </c>
      <c r="C176" s="20" t="s">
        <v>17</v>
      </c>
      <c r="D176" s="21" t="s">
        <v>0</v>
      </c>
      <c r="E176" s="21" t="s">
        <v>53</v>
      </c>
      <c r="F176" s="21" t="s">
        <v>1</v>
      </c>
      <c r="H176" s="129" t="s">
        <v>61</v>
      </c>
      <c r="I176" s="2"/>
      <c r="J176" s="2"/>
    </row>
    <row r="177" spans="1:10" ht="15">
      <c r="A177" s="449"/>
      <c r="B177" s="460">
        <f>B197</f>
        <v>0</v>
      </c>
      <c r="C177" s="461"/>
      <c r="D177" s="455">
        <f>SUM(C177*(D197/C197))</f>
        <v>0</v>
      </c>
      <c r="E177" s="455">
        <f>SUM(C177*(E197/C197))</f>
        <v>0</v>
      </c>
      <c r="F177" s="455">
        <f>SUM(C177*(F197/C197))</f>
        <v>0</v>
      </c>
      <c r="H177" s="35" t="s">
        <v>70</v>
      </c>
      <c r="I177" s="25">
        <f>IF(ISERROR(SUM(D193*4)/SUM(D193*4+E193*4+F193*9)),0,SUM(D193*4)/SUM(D193*4+E193*4+F193*9))</f>
        <v>0</v>
      </c>
      <c r="J177" s="142" t="str">
        <f>CONCATENATE(ROUND(D193,1)," ","g")</f>
        <v>0 g</v>
      </c>
    </row>
    <row r="178" spans="1:10" ht="15">
      <c r="A178" s="449"/>
      <c r="B178" s="450"/>
      <c r="C178" s="458"/>
      <c r="D178" s="457"/>
      <c r="E178" s="457"/>
      <c r="F178" s="457"/>
      <c r="H178" s="35" t="s">
        <v>71</v>
      </c>
      <c r="I178" s="25">
        <f>IF(ISERROR(SUM(E193*4)/SUM(D193*4+E193*4+F193*9)),0,SUM(E193*4)/SUM(D193*4+E193*4+F193*9))</f>
        <v>0</v>
      </c>
      <c r="J178" s="142" t="str">
        <f>CONCATENATE(ROUND(E193,1)," ","g")</f>
        <v>0 g</v>
      </c>
    </row>
    <row r="179" spans="1:10" ht="15">
      <c r="A179" s="449"/>
      <c r="B179" s="450">
        <f>B198</f>
        <v>0</v>
      </c>
      <c r="C179" s="458"/>
      <c r="D179" s="457">
        <f>SUM(C179*(D198/C198))</f>
        <v>0</v>
      </c>
      <c r="E179" s="457">
        <f>SUM(C179*(E198/C198))</f>
        <v>0</v>
      </c>
      <c r="F179" s="457">
        <f>SUM(C179*(F198/C198))</f>
        <v>0</v>
      </c>
      <c r="H179" s="35" t="s">
        <v>72</v>
      </c>
      <c r="I179" s="25">
        <f>IF(ISERROR(SUM(F193*9)/SUM(D193*4+E193*4+F193*9)),0,SUM(F193*9)/SUM(D193*4+E193*4+F193*9))</f>
        <v>0</v>
      </c>
      <c r="J179" s="142" t="str">
        <f>CONCATENATE(ROUND(F193,1)," ","g")</f>
        <v>0 g</v>
      </c>
    </row>
    <row r="180" spans="1:10" ht="15">
      <c r="A180" s="449"/>
      <c r="B180" s="450"/>
      <c r="C180" s="458"/>
      <c r="D180" s="457"/>
      <c r="E180" s="457"/>
      <c r="F180" s="457"/>
      <c r="H180" s="35" t="s">
        <v>73</v>
      </c>
      <c r="I180" s="26">
        <f>D193*4+E193*4+F193*9</f>
        <v>0</v>
      </c>
      <c r="J180" s="120"/>
    </row>
    <row r="181" spans="1:8" ht="15">
      <c r="A181" s="449"/>
      <c r="B181" s="450">
        <f>B199</f>
        <v>0</v>
      </c>
      <c r="C181" s="458"/>
      <c r="D181" s="457">
        <f>SUM(C181*(D199/C199))</f>
        <v>0</v>
      </c>
      <c r="E181" s="457">
        <f>SUM(C181*(E199/C199))</f>
        <v>0</v>
      </c>
      <c r="F181" s="457">
        <f>SUM(C181*(F199/C199))</f>
        <v>0</v>
      </c>
      <c r="H181" s="12">
        <f>SUM(D193*4)</f>
        <v>0</v>
      </c>
    </row>
    <row r="182" spans="1:8" ht="15">
      <c r="A182" s="449"/>
      <c r="B182" s="450"/>
      <c r="C182" s="458"/>
      <c r="D182" s="457"/>
      <c r="E182" s="457"/>
      <c r="F182" s="457"/>
      <c r="H182" s="12">
        <f>SUM(E193*4)</f>
        <v>0</v>
      </c>
    </row>
    <row r="183" spans="1:8" ht="15">
      <c r="A183" s="449"/>
      <c r="B183" s="450">
        <f>B200</f>
        <v>0</v>
      </c>
      <c r="C183" s="458"/>
      <c r="D183" s="457">
        <f>SUM(C183*(D200/C200))</f>
        <v>0</v>
      </c>
      <c r="E183" s="457">
        <f>SUM(C183*(E200/C200))</f>
        <v>0</v>
      </c>
      <c r="F183" s="457">
        <f>SUM(C183*(F200/C200))</f>
        <v>0</v>
      </c>
      <c r="H183" s="12">
        <f>SUM(F193*9)</f>
        <v>0</v>
      </c>
    </row>
    <row r="184" spans="1:6" ht="15">
      <c r="A184" s="449"/>
      <c r="B184" s="450"/>
      <c r="C184" s="458"/>
      <c r="D184" s="457"/>
      <c r="E184" s="457"/>
      <c r="F184" s="457"/>
    </row>
    <row r="185" spans="1:6" ht="15">
      <c r="A185" s="449"/>
      <c r="B185" s="450">
        <f>B201</f>
        <v>0</v>
      </c>
      <c r="C185" s="458"/>
      <c r="D185" s="457">
        <f>SUM(C185*(D201/C201))</f>
        <v>0</v>
      </c>
      <c r="E185" s="457">
        <f>SUM(C185*(E201/C201))</f>
        <v>0</v>
      </c>
      <c r="F185" s="457">
        <f>SUM(C185*(F201/C201))</f>
        <v>0</v>
      </c>
    </row>
    <row r="186" spans="1:10" ht="15">
      <c r="A186" s="449"/>
      <c r="B186" s="450"/>
      <c r="C186" s="458"/>
      <c r="D186" s="457"/>
      <c r="E186" s="457"/>
      <c r="F186" s="457"/>
      <c r="J186" s="10"/>
    </row>
    <row r="187" spans="1:10" ht="15">
      <c r="A187" s="449"/>
      <c r="B187" s="450">
        <f>B202</f>
        <v>0</v>
      </c>
      <c r="C187" s="458"/>
      <c r="D187" s="457">
        <f>SUM(C187*(D202/C202))</f>
        <v>0</v>
      </c>
      <c r="E187" s="457">
        <f>SUM(C187*(E202/C202))</f>
        <v>0</v>
      </c>
      <c r="F187" s="457">
        <f>SUM(C187*(F202/C202))</f>
        <v>0</v>
      </c>
      <c r="J187" s="10"/>
    </row>
    <row r="188" spans="1:10" ht="15">
      <c r="A188" s="449"/>
      <c r="B188" s="450"/>
      <c r="C188" s="458"/>
      <c r="D188" s="457"/>
      <c r="E188" s="457"/>
      <c r="F188" s="457"/>
      <c r="H188" s="12"/>
      <c r="J188" s="10"/>
    </row>
    <row r="189" spans="1:10" ht="15">
      <c r="A189" s="449"/>
      <c r="B189" s="450">
        <f>B203</f>
        <v>0</v>
      </c>
      <c r="C189" s="458"/>
      <c r="D189" s="457">
        <f>SUM(C189*(D203/C203))</f>
        <v>0</v>
      </c>
      <c r="E189" s="457">
        <f>SUM(C189*(E203/C203))</f>
        <v>0</v>
      </c>
      <c r="F189" s="457">
        <f>SUM(C189*(F203/C203))</f>
        <v>0</v>
      </c>
      <c r="H189" s="12"/>
      <c r="J189" s="10"/>
    </row>
    <row r="190" spans="1:10" ht="15">
      <c r="A190" s="449"/>
      <c r="B190" s="450"/>
      <c r="C190" s="458"/>
      <c r="D190" s="457"/>
      <c r="E190" s="457"/>
      <c r="F190" s="457"/>
      <c r="H190" s="12"/>
      <c r="J190" s="10"/>
    </row>
    <row r="191" spans="1:10" ht="15">
      <c r="A191" s="449"/>
      <c r="B191" s="450">
        <f>B204</f>
        <v>0</v>
      </c>
      <c r="C191" s="458"/>
      <c r="D191" s="457">
        <f>SUM(C191*(D204/C204))</f>
        <v>0</v>
      </c>
      <c r="E191" s="457">
        <f>SUM(C191*(E204/C204))</f>
        <v>0</v>
      </c>
      <c r="F191" s="457">
        <f>SUM(C191*(F204/C204))</f>
        <v>0</v>
      </c>
      <c r="G191" s="13"/>
      <c r="J191" s="10"/>
    </row>
    <row r="192" spans="1:10" ht="15">
      <c r="A192" s="449"/>
      <c r="B192" s="450"/>
      <c r="C192" s="459"/>
      <c r="D192" s="456"/>
      <c r="E192" s="456"/>
      <c r="F192" s="456"/>
      <c r="J192" s="10"/>
    </row>
    <row r="193" spans="1:10" ht="15">
      <c r="A193" s="150"/>
      <c r="B193" s="2"/>
      <c r="C193" s="453" t="s">
        <v>2</v>
      </c>
      <c r="D193" s="455">
        <f>SUM(D177:D192)</f>
        <v>0</v>
      </c>
      <c r="E193" s="455">
        <f>SUM(E177:E192)</f>
        <v>0</v>
      </c>
      <c r="F193" s="455">
        <f>SUM(F177:F192)</f>
        <v>0</v>
      </c>
      <c r="G193" s="452"/>
      <c r="J193" s="10"/>
    </row>
    <row r="194" spans="1:10" ht="15">
      <c r="A194" s="149"/>
      <c r="B194" s="27"/>
      <c r="C194" s="454"/>
      <c r="D194" s="456"/>
      <c r="E194" s="456"/>
      <c r="F194" s="456"/>
      <c r="G194" s="452"/>
      <c r="J194" s="10"/>
    </row>
    <row r="195" spans="1:10" ht="15">
      <c r="A195" s="149"/>
      <c r="J195" s="10"/>
    </row>
    <row r="196" spans="1:10" ht="15">
      <c r="A196" s="151" t="s">
        <v>16</v>
      </c>
      <c r="B196" s="1" t="s">
        <v>35</v>
      </c>
      <c r="C196" s="1" t="s">
        <v>17</v>
      </c>
      <c r="D196" s="16" t="s">
        <v>0</v>
      </c>
      <c r="E196" s="16" t="s">
        <v>53</v>
      </c>
      <c r="F196" s="16" t="s">
        <v>1</v>
      </c>
      <c r="G196" s="17"/>
      <c r="H196" s="1" t="s">
        <v>25</v>
      </c>
      <c r="J196" s="10"/>
    </row>
    <row r="197" spans="1:10" ht="15">
      <c r="A197" s="40"/>
      <c r="B197" s="28">
        <f>VLOOKUP(A:A,'Food Database'!B:C,2,FALSE)</f>
        <v>0</v>
      </c>
      <c r="C197" s="24">
        <f>VLOOKUP(A:A,'Food Database'!B:E,4,FALSE)</f>
        <v>100</v>
      </c>
      <c r="D197" s="29">
        <f>VLOOKUP(A:A,'Food Database'!B:F,5,FALSE)</f>
        <v>0</v>
      </c>
      <c r="E197" s="29">
        <f>VLOOKUP(A:A,'Food Database'!B:G,6,FALSE)</f>
        <v>0</v>
      </c>
      <c r="F197" s="29">
        <f>VLOOKUP(A:A,'Food Database'!B:H,7,FALSE)</f>
        <v>0</v>
      </c>
      <c r="H197" s="24">
        <f>VLOOKUP(A:A,'Food Database'!B:H,3,FALSE)</f>
        <v>0</v>
      </c>
      <c r="J197" s="10"/>
    </row>
    <row r="198" spans="1:10" ht="15">
      <c r="A198" s="40"/>
      <c r="B198" s="28">
        <f>VLOOKUP(A:A,'Food Database'!B:C,2,FALSE)</f>
        <v>0</v>
      </c>
      <c r="C198" s="24">
        <f>VLOOKUP(A:A,'Food Database'!B:E,4,FALSE)</f>
        <v>100</v>
      </c>
      <c r="D198" s="29">
        <f>VLOOKUP(A:A,'Food Database'!B:F,5,FALSE)</f>
        <v>0</v>
      </c>
      <c r="E198" s="29">
        <f>VLOOKUP(A:A,'Food Database'!B:G,6,FALSE)</f>
        <v>0</v>
      </c>
      <c r="F198" s="29">
        <f>VLOOKUP(A:A,'Food Database'!B:H,7,FALSE)</f>
        <v>0</v>
      </c>
      <c r="H198" s="24">
        <f>VLOOKUP(A:A,'Food Database'!B:H,3,FALSE)</f>
        <v>0</v>
      </c>
      <c r="J198" s="10"/>
    </row>
    <row r="199" spans="1:10" ht="15">
      <c r="A199" s="40"/>
      <c r="B199" s="28">
        <f>VLOOKUP(A:A,'Food Database'!B:C,2,FALSE)</f>
        <v>0</v>
      </c>
      <c r="C199" s="24">
        <f>VLOOKUP(A:A,'Food Database'!B:E,4,FALSE)</f>
        <v>100</v>
      </c>
      <c r="D199" s="29">
        <f>VLOOKUP(A:A,'Food Database'!B:F,5,FALSE)</f>
        <v>0</v>
      </c>
      <c r="E199" s="29">
        <f>VLOOKUP(A:A,'Food Database'!B:G,6,FALSE)</f>
        <v>0</v>
      </c>
      <c r="F199" s="29">
        <f>VLOOKUP(A:A,'Food Database'!B:H,7,FALSE)</f>
        <v>0</v>
      </c>
      <c r="H199" s="24">
        <f>VLOOKUP(A:A,'Food Database'!B:H,3,FALSE)</f>
        <v>0</v>
      </c>
      <c r="J199" s="10"/>
    </row>
    <row r="200" spans="1:10" ht="15">
      <c r="A200" s="40"/>
      <c r="B200" s="28">
        <f>VLOOKUP(A:A,'Food Database'!B:C,2,FALSE)</f>
        <v>0</v>
      </c>
      <c r="C200" s="24">
        <f>VLOOKUP(A:A,'Food Database'!B:E,4,FALSE)</f>
        <v>100</v>
      </c>
      <c r="D200" s="29">
        <f>VLOOKUP(A:A,'Food Database'!B:F,5,FALSE)</f>
        <v>0</v>
      </c>
      <c r="E200" s="29">
        <f>VLOOKUP(A:A,'Food Database'!B:G,6,FALSE)</f>
        <v>0</v>
      </c>
      <c r="F200" s="29">
        <f>VLOOKUP(A:A,'Food Database'!B:H,7,FALSE)</f>
        <v>0</v>
      </c>
      <c r="H200" s="24">
        <f>VLOOKUP(A:A,'Food Database'!B:H,3,FALSE)</f>
        <v>0</v>
      </c>
      <c r="J200" s="10"/>
    </row>
    <row r="201" spans="1:10" ht="15">
      <c r="A201" s="40"/>
      <c r="B201" s="28">
        <f>VLOOKUP(A:A,'Food Database'!B:C,2,FALSE)</f>
        <v>0</v>
      </c>
      <c r="C201" s="24">
        <f>VLOOKUP(A:A,'Food Database'!B:E,4,FALSE)</f>
        <v>100</v>
      </c>
      <c r="D201" s="29">
        <f>VLOOKUP(A:A,'Food Database'!B:F,5,FALSE)</f>
        <v>0</v>
      </c>
      <c r="E201" s="29">
        <f>VLOOKUP(A:A,'Food Database'!B:G,6,FALSE)</f>
        <v>0</v>
      </c>
      <c r="F201" s="29">
        <f>VLOOKUP(A:A,'Food Database'!B:H,7,FALSE)</f>
        <v>0</v>
      </c>
      <c r="H201" s="24">
        <f>VLOOKUP(A:A,'Food Database'!B:H,3,FALSE)</f>
        <v>0</v>
      </c>
      <c r="J201" s="10"/>
    </row>
    <row r="202" spans="1:10" ht="15">
      <c r="A202" s="40"/>
      <c r="B202" s="28">
        <f>VLOOKUP(A:A,'Food Database'!B:C,2,FALSE)</f>
        <v>0</v>
      </c>
      <c r="C202" s="24">
        <f>VLOOKUP(A:A,'Food Database'!B:E,4,FALSE)</f>
        <v>100</v>
      </c>
      <c r="D202" s="29">
        <f>VLOOKUP(A:A,'Food Database'!B:F,5,FALSE)</f>
        <v>0</v>
      </c>
      <c r="E202" s="29">
        <f>VLOOKUP(A:A,'Food Database'!B:G,6,FALSE)</f>
        <v>0</v>
      </c>
      <c r="F202" s="29">
        <f>VLOOKUP(A:A,'Food Database'!B:H,7,FALSE)</f>
        <v>0</v>
      </c>
      <c r="H202" s="24">
        <f>VLOOKUP(A:A,'Food Database'!B:H,3,FALSE)</f>
        <v>0</v>
      </c>
      <c r="J202" s="10"/>
    </row>
    <row r="203" spans="1:10" ht="15">
      <c r="A203" s="40"/>
      <c r="B203" s="28">
        <f>VLOOKUP(A:A,'Food Database'!B:C,2,FALSE)</f>
        <v>0</v>
      </c>
      <c r="C203" s="24">
        <f>VLOOKUP(A:A,'Food Database'!B:E,4,FALSE)</f>
        <v>100</v>
      </c>
      <c r="D203" s="29">
        <f>VLOOKUP(A:A,'Food Database'!B:F,5,FALSE)</f>
        <v>0</v>
      </c>
      <c r="E203" s="29">
        <f>VLOOKUP(A:A,'Food Database'!B:G,6,FALSE)</f>
        <v>0</v>
      </c>
      <c r="F203" s="29">
        <f>VLOOKUP(A:A,'Food Database'!B:H,7,FALSE)</f>
        <v>0</v>
      </c>
      <c r="H203" s="24">
        <f>VLOOKUP(A:A,'Food Database'!B:H,3,FALSE)</f>
        <v>0</v>
      </c>
      <c r="J203" s="10"/>
    </row>
    <row r="204" spans="1:9" ht="15.75" thickBot="1">
      <c r="A204" s="41"/>
      <c r="B204" s="30">
        <f>VLOOKUP(A:A,'Food Database'!B:C,2,FALSE)</f>
        <v>0</v>
      </c>
      <c r="C204" s="31">
        <f>VLOOKUP(A:A,'Food Database'!B:E,4,FALSE)</f>
        <v>100</v>
      </c>
      <c r="D204" s="32">
        <f>VLOOKUP(A:A,'Food Database'!B:F,5,FALSE)</f>
        <v>0</v>
      </c>
      <c r="E204" s="32">
        <f>VLOOKUP(A:A,'Food Database'!B:G,6,FALSE)</f>
        <v>0</v>
      </c>
      <c r="F204" s="32">
        <f>VLOOKUP(A:A,'Food Database'!B:H,7,FALSE)</f>
        <v>0</v>
      </c>
      <c r="G204" s="33"/>
      <c r="H204" s="31">
        <f>VLOOKUP(A:A,'Food Database'!B:H,3,FALSE)</f>
        <v>0</v>
      </c>
      <c r="I204" s="34"/>
    </row>
    <row r="6945" ht="15">
      <c r="GA6945" s="19" t="s">
        <v>32</v>
      </c>
    </row>
    <row r="6946" ht="15">
      <c r="GA6946" s="19" t="s">
        <v>65</v>
      </c>
    </row>
  </sheetData>
  <sheetProtection password="D348" sheet="1" selectLockedCells="1"/>
  <mergeCells count="326">
    <mergeCell ref="D161:D162"/>
    <mergeCell ref="E161:E162"/>
    <mergeCell ref="F161:F162"/>
    <mergeCell ref="F157:F158"/>
    <mergeCell ref="C161:C162"/>
    <mergeCell ref="A12:F12"/>
    <mergeCell ref="A159:A160"/>
    <mergeCell ref="B159:B160"/>
    <mergeCell ref="C159:C160"/>
    <mergeCell ref="E159:E160"/>
    <mergeCell ref="F159:F160"/>
    <mergeCell ref="D159:D160"/>
    <mergeCell ref="A157:A158"/>
    <mergeCell ref="B157:B158"/>
    <mergeCell ref="C157:C158"/>
    <mergeCell ref="D153:D154"/>
    <mergeCell ref="E157:E158"/>
    <mergeCell ref="E151:E152"/>
    <mergeCell ref="D157:D158"/>
    <mergeCell ref="D155:D156"/>
    <mergeCell ref="D151:D152"/>
    <mergeCell ref="E155:E156"/>
    <mergeCell ref="F151:F152"/>
    <mergeCell ref="E153:E154"/>
    <mergeCell ref="F153:F154"/>
    <mergeCell ref="F155:F156"/>
    <mergeCell ref="B155:B156"/>
    <mergeCell ref="A151:A152"/>
    <mergeCell ref="B151:B152"/>
    <mergeCell ref="C151:C152"/>
    <mergeCell ref="A153:A154"/>
    <mergeCell ref="B153:B154"/>
    <mergeCell ref="C153:C154"/>
    <mergeCell ref="A155:A156"/>
    <mergeCell ref="C155:C156"/>
    <mergeCell ref="A147:A148"/>
    <mergeCell ref="B147:B148"/>
    <mergeCell ref="C147:C148"/>
    <mergeCell ref="A149:A150"/>
    <mergeCell ref="B149:B150"/>
    <mergeCell ref="C149:C150"/>
    <mergeCell ref="D149:D150"/>
    <mergeCell ref="D147:D148"/>
    <mergeCell ref="E149:E150"/>
    <mergeCell ref="F149:F150"/>
    <mergeCell ref="E147:E148"/>
    <mergeCell ref="F147:F148"/>
    <mergeCell ref="A127:A128"/>
    <mergeCell ref="B127:B128"/>
    <mergeCell ref="E145:E146"/>
    <mergeCell ref="F145:F146"/>
    <mergeCell ref="E127:E128"/>
    <mergeCell ref="F127:F128"/>
    <mergeCell ref="A145:A146"/>
    <mergeCell ref="B145:B146"/>
    <mergeCell ref="C145:C146"/>
    <mergeCell ref="D145:D146"/>
    <mergeCell ref="C127:C128"/>
    <mergeCell ref="D127:D128"/>
    <mergeCell ref="C125:C126"/>
    <mergeCell ref="D125:D126"/>
    <mergeCell ref="E121:E122"/>
    <mergeCell ref="F121:F122"/>
    <mergeCell ref="E123:E124"/>
    <mergeCell ref="F123:F124"/>
    <mergeCell ref="E125:E126"/>
    <mergeCell ref="F125:F126"/>
    <mergeCell ref="A123:A124"/>
    <mergeCell ref="B123:B124"/>
    <mergeCell ref="C123:C124"/>
    <mergeCell ref="D123:D124"/>
    <mergeCell ref="A125:A126"/>
    <mergeCell ref="B125:B126"/>
    <mergeCell ref="A121:A122"/>
    <mergeCell ref="B121:B122"/>
    <mergeCell ref="C121:C122"/>
    <mergeCell ref="D121:D122"/>
    <mergeCell ref="E119:E120"/>
    <mergeCell ref="F119:F120"/>
    <mergeCell ref="A117:A118"/>
    <mergeCell ref="B117:B118"/>
    <mergeCell ref="A119:A120"/>
    <mergeCell ref="B119:B120"/>
    <mergeCell ref="C119:C120"/>
    <mergeCell ref="D119:D120"/>
    <mergeCell ref="C117:C118"/>
    <mergeCell ref="D117:D118"/>
    <mergeCell ref="E113:E114"/>
    <mergeCell ref="F113:F114"/>
    <mergeCell ref="E115:E116"/>
    <mergeCell ref="F115:F116"/>
    <mergeCell ref="E117:E118"/>
    <mergeCell ref="F117:F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C95:C96"/>
    <mergeCell ref="D95:D96"/>
    <mergeCell ref="C93:C94"/>
    <mergeCell ref="D93:D94"/>
    <mergeCell ref="A93:A94"/>
    <mergeCell ref="B93:B94"/>
    <mergeCell ref="A95:A96"/>
    <mergeCell ref="B95:B96"/>
    <mergeCell ref="E89:E90"/>
    <mergeCell ref="E95:E96"/>
    <mergeCell ref="F89:F90"/>
    <mergeCell ref="E91:E92"/>
    <mergeCell ref="F91:F92"/>
    <mergeCell ref="E93:E94"/>
    <mergeCell ref="F93:F94"/>
    <mergeCell ref="F95:F96"/>
    <mergeCell ref="A91:A92"/>
    <mergeCell ref="B91:B92"/>
    <mergeCell ref="C91:C92"/>
    <mergeCell ref="D91:D92"/>
    <mergeCell ref="A89:A90"/>
    <mergeCell ref="B89:B90"/>
    <mergeCell ref="C89:C90"/>
    <mergeCell ref="D89:D90"/>
    <mergeCell ref="E87:E88"/>
    <mergeCell ref="F87:F88"/>
    <mergeCell ref="A85:A86"/>
    <mergeCell ref="B85:B86"/>
    <mergeCell ref="A87:A88"/>
    <mergeCell ref="B87:B88"/>
    <mergeCell ref="C87:C88"/>
    <mergeCell ref="D87:D88"/>
    <mergeCell ref="C85:C86"/>
    <mergeCell ref="D85:D86"/>
    <mergeCell ref="E81:E82"/>
    <mergeCell ref="F81:F82"/>
    <mergeCell ref="E83:E84"/>
    <mergeCell ref="F83:F84"/>
    <mergeCell ref="E85:E86"/>
    <mergeCell ref="F85:F86"/>
    <mergeCell ref="A83:A84"/>
    <mergeCell ref="B83:B84"/>
    <mergeCell ref="C83:C84"/>
    <mergeCell ref="D83:D84"/>
    <mergeCell ref="A81:A82"/>
    <mergeCell ref="B81:B82"/>
    <mergeCell ref="C81:C82"/>
    <mergeCell ref="D81:D82"/>
    <mergeCell ref="E63:E64"/>
    <mergeCell ref="F63:F64"/>
    <mergeCell ref="A61:A62"/>
    <mergeCell ref="B61:B62"/>
    <mergeCell ref="A63:A64"/>
    <mergeCell ref="B63:B64"/>
    <mergeCell ref="C63:C64"/>
    <mergeCell ref="D63:D64"/>
    <mergeCell ref="C61:C62"/>
    <mergeCell ref="D61:D62"/>
    <mergeCell ref="E57:E58"/>
    <mergeCell ref="F57:F58"/>
    <mergeCell ref="E59:E60"/>
    <mergeCell ref="F59:F60"/>
    <mergeCell ref="E61:E62"/>
    <mergeCell ref="F61:F62"/>
    <mergeCell ref="A59:A60"/>
    <mergeCell ref="B59:B60"/>
    <mergeCell ref="C59:C60"/>
    <mergeCell ref="D59:D60"/>
    <mergeCell ref="A57:A58"/>
    <mergeCell ref="B57:B58"/>
    <mergeCell ref="C57:C58"/>
    <mergeCell ref="D57:D58"/>
    <mergeCell ref="E55:E56"/>
    <mergeCell ref="F55:F56"/>
    <mergeCell ref="A53:A54"/>
    <mergeCell ref="B53:B54"/>
    <mergeCell ref="A55:A56"/>
    <mergeCell ref="B55:B56"/>
    <mergeCell ref="C55:C56"/>
    <mergeCell ref="D55:D56"/>
    <mergeCell ref="C53:C54"/>
    <mergeCell ref="D53:D54"/>
    <mergeCell ref="E49:E50"/>
    <mergeCell ref="F49:F50"/>
    <mergeCell ref="E51:E52"/>
    <mergeCell ref="F51:F52"/>
    <mergeCell ref="E53:E54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E29:E30"/>
    <mergeCell ref="F29:F30"/>
    <mergeCell ref="A31:A32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1:E22"/>
    <mergeCell ref="D21:D22"/>
    <mergeCell ref="E23:E24"/>
    <mergeCell ref="E25:E26"/>
    <mergeCell ref="A21:A22"/>
    <mergeCell ref="B21:B22"/>
    <mergeCell ref="C21:C22"/>
    <mergeCell ref="A23:A24"/>
    <mergeCell ref="B23:B24"/>
    <mergeCell ref="C23:C24"/>
    <mergeCell ref="D19:D20"/>
    <mergeCell ref="E19:E20"/>
    <mergeCell ref="F19:F20"/>
    <mergeCell ref="F23:F24"/>
    <mergeCell ref="D23:D24"/>
    <mergeCell ref="F21:F22"/>
    <mergeCell ref="F33:F34"/>
    <mergeCell ref="F17:F18"/>
    <mergeCell ref="A19:A20"/>
    <mergeCell ref="B19:B20"/>
    <mergeCell ref="A17:A18"/>
    <mergeCell ref="B17:B18"/>
    <mergeCell ref="C17:C18"/>
    <mergeCell ref="D17:D18"/>
    <mergeCell ref="E17:E18"/>
    <mergeCell ref="C19:C20"/>
    <mergeCell ref="F97:F98"/>
    <mergeCell ref="G33:G34"/>
    <mergeCell ref="C65:C66"/>
    <mergeCell ref="D65:D66"/>
    <mergeCell ref="E65:E66"/>
    <mergeCell ref="F65:F66"/>
    <mergeCell ref="G65:G66"/>
    <mergeCell ref="C33:C34"/>
    <mergeCell ref="D33:D34"/>
    <mergeCell ref="E33:E34"/>
    <mergeCell ref="G161:G162"/>
    <mergeCell ref="G97:G98"/>
    <mergeCell ref="C129:C130"/>
    <mergeCell ref="D129:D130"/>
    <mergeCell ref="E129:E130"/>
    <mergeCell ref="F129:F130"/>
    <mergeCell ref="G129:G130"/>
    <mergeCell ref="C97:C98"/>
    <mergeCell ref="D97:D98"/>
    <mergeCell ref="E97:E98"/>
    <mergeCell ref="A177:A178"/>
    <mergeCell ref="B177:B178"/>
    <mergeCell ref="C177:C178"/>
    <mergeCell ref="D177:D178"/>
    <mergeCell ref="E181:E182"/>
    <mergeCell ref="F181:F182"/>
    <mergeCell ref="A179:A180"/>
    <mergeCell ref="B179:B180"/>
    <mergeCell ref="C179:C180"/>
    <mergeCell ref="D179:D180"/>
    <mergeCell ref="E177:E178"/>
    <mergeCell ref="F177:F178"/>
    <mergeCell ref="E179:E180"/>
    <mergeCell ref="F179:F180"/>
    <mergeCell ref="E183:E184"/>
    <mergeCell ref="F183:F184"/>
    <mergeCell ref="A181:A182"/>
    <mergeCell ref="B181:B182"/>
    <mergeCell ref="A183:A184"/>
    <mergeCell ref="B183:B184"/>
    <mergeCell ref="C183:C184"/>
    <mergeCell ref="D183:D184"/>
    <mergeCell ref="C181:C182"/>
    <mergeCell ref="D181:D182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F185:F186"/>
    <mergeCell ref="E187:E188"/>
    <mergeCell ref="F187:F188"/>
    <mergeCell ref="E189:E190"/>
    <mergeCell ref="F189:F190"/>
    <mergeCell ref="D191:D192"/>
    <mergeCell ref="C189:C190"/>
    <mergeCell ref="D189:D190"/>
    <mergeCell ref="E185:E186"/>
    <mergeCell ref="A189:A190"/>
    <mergeCell ref="B189:B190"/>
    <mergeCell ref="A191:A192"/>
    <mergeCell ref="B191:B192"/>
    <mergeCell ref="B9:H9"/>
    <mergeCell ref="B6:H6"/>
    <mergeCell ref="G193:G194"/>
    <mergeCell ref="C193:C194"/>
    <mergeCell ref="D193:D194"/>
    <mergeCell ref="E193:E194"/>
    <mergeCell ref="F193:F194"/>
    <mergeCell ref="E191:E192"/>
    <mergeCell ref="F191:F192"/>
    <mergeCell ref="C191:C192"/>
    <mergeCell ref="B5:H5"/>
    <mergeCell ref="B4:H4"/>
    <mergeCell ref="B3:H3"/>
    <mergeCell ref="B8:H8"/>
    <mergeCell ref="B7:H7"/>
  </mergeCells>
  <conditionalFormatting sqref="B3:B9">
    <cfRule type="expression" priority="1" dxfId="15" stopIfTrue="1">
      <formula>$L$3="Yes"</formula>
    </cfRule>
  </conditionalFormatting>
  <conditionalFormatting sqref="B11">
    <cfRule type="expression" priority="2" dxfId="15" stopIfTrue="1">
      <formula>#REF!="Yes"</formula>
    </cfRule>
  </conditionalFormatting>
  <conditionalFormatting sqref="I11">
    <cfRule type="expression" priority="3" dxfId="16" stopIfTrue="1">
      <formula>$J$2="Fast Day"</formula>
    </cfRule>
    <cfRule type="expression" priority="4" dxfId="16" stopIfTrue="1">
      <formula>$J$2="Cheat Day"</formula>
    </cfRule>
    <cfRule type="expression" priority="5" dxfId="15" stopIfTrue="1">
      <formula>$J$2="Depletion Day"</formula>
    </cfRule>
  </conditionalFormatting>
  <conditionalFormatting sqref="H11">
    <cfRule type="expression" priority="6" dxfId="16" stopIfTrue="1">
      <formula>$J$2="Cheat Day"</formula>
    </cfRule>
  </conditionalFormatting>
  <dataValidations count="1">
    <dataValidation type="whole" operator="greaterThan" allowBlank="1" showInputMessage="1" showErrorMessage="1" sqref="A170 A138 A42:A44 A106">
      <formula1>0</formula1>
    </dataValidation>
  </dataValidations>
  <hyperlinks>
    <hyperlink ref="I3" location="ModCarbB" display="ModCarbB"/>
    <hyperlink ref="I4" location="ModCarbMM" display="ModCarbMM"/>
    <hyperlink ref="I5" location="ModCarbL" display="ModCarbL"/>
    <hyperlink ref="I6" location="ModCarbEE" display="ModCarbEE"/>
    <hyperlink ref="I8" location="bed6" display="Pre Bed"/>
    <hyperlink ref="I7" location="ModCarbD" display="ModCarbD"/>
    <hyperlink ref="B1" location="Six" display="DATABASE REFERENC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12:IV12 I3: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Carmel RC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2012-08-06T14:33:57Z</cp:lastPrinted>
  <dcterms:created xsi:type="dcterms:W3CDTF">2009-11-08T20:16:05Z</dcterms:created>
  <dcterms:modified xsi:type="dcterms:W3CDTF">2013-03-23T14:20:12Z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